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ink/ink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ink/ink3.xml" ContentType="application/inkml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ink/ink4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043356\OneDrive - Western Sydney University\Reviews\Ian_Bush\"/>
    </mc:Choice>
  </mc:AlternateContent>
  <xr:revisionPtr revIDLastSave="0" documentId="13_ncr:1_{8BA7DAD1-49C9-46BA-B25E-847B6FDDF384}" xr6:coauthVersionLast="47" xr6:coauthVersionMax="47" xr10:uidLastSave="{00000000-0000-0000-0000-000000000000}"/>
  <bookViews>
    <workbookView xWindow="1100" yWindow="1100" windowWidth="38400" windowHeight="10510" activeTab="3" xr2:uid="{0D2350B1-D571-4A4A-BCD6-F888C2DCBFB9}"/>
  </bookViews>
  <sheets>
    <sheet name="Exceedances (2)" sheetId="1" r:id="rId1"/>
    <sheet name="Exceedances (3)" sheetId="2" r:id="rId2"/>
    <sheet name="Prioritization" sheetId="3" r:id="rId3"/>
    <sheet name="Prioritization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1" i="5" l="1"/>
  <c r="AJ20" i="5"/>
  <c r="AJ19" i="5"/>
  <c r="AJ18" i="5"/>
  <c r="AJ17" i="5"/>
  <c r="AJ16" i="5"/>
  <c r="AJ15" i="5"/>
  <c r="AJ14" i="5"/>
  <c r="AJ13" i="5"/>
  <c r="AJ12" i="5"/>
  <c r="AJ11" i="5"/>
  <c r="AJ10" i="5"/>
  <c r="AM52" i="3"/>
  <c r="F30" i="5"/>
  <c r="M30" i="5"/>
  <c r="O30" i="5"/>
  <c r="AG30" i="5"/>
  <c r="F31" i="5"/>
  <c r="M31" i="5"/>
  <c r="O31" i="5"/>
  <c r="AG31" i="5"/>
  <c r="F35" i="5"/>
  <c r="M35" i="5"/>
  <c r="O35" i="5"/>
  <c r="AG35" i="5"/>
  <c r="F32" i="5"/>
  <c r="M32" i="5"/>
  <c r="O32" i="5"/>
  <c r="AG32" i="5"/>
  <c r="F34" i="5"/>
  <c r="M34" i="5"/>
  <c r="V34" i="5"/>
  <c r="O34" i="5" s="1"/>
  <c r="AJ34" i="5" s="1"/>
  <c r="M27" i="5"/>
  <c r="V27" i="5"/>
  <c r="Z27" i="5"/>
  <c r="F44" i="5"/>
  <c r="M44" i="5"/>
  <c r="V44" i="5"/>
  <c r="O44" i="5" s="1"/>
  <c r="AJ44" i="5" s="1"/>
  <c r="F28" i="5"/>
  <c r="M28" i="5"/>
  <c r="V28" i="5"/>
  <c r="O28" i="5" s="1"/>
  <c r="AJ28" i="5" s="1"/>
  <c r="F37" i="5"/>
  <c r="M37" i="5"/>
  <c r="V37" i="5"/>
  <c r="Z37" i="5"/>
  <c r="F33" i="5"/>
  <c r="M33" i="5"/>
  <c r="V33" i="5"/>
  <c r="O33" i="5" s="1"/>
  <c r="AJ33" i="5" s="1"/>
  <c r="F36" i="5"/>
  <c r="M36" i="5"/>
  <c r="V36" i="5"/>
  <c r="O36" i="5" s="1"/>
  <c r="F43" i="5"/>
  <c r="M43" i="5"/>
  <c r="V43" i="5"/>
  <c r="O43" i="5" s="1"/>
  <c r="AJ43" i="5" s="1"/>
  <c r="F26" i="5"/>
  <c r="M26" i="5"/>
  <c r="V26" i="5"/>
  <c r="O26" i="5" s="1"/>
  <c r="AJ26" i="5" s="1"/>
  <c r="F38" i="5"/>
  <c r="M38" i="5"/>
  <c r="Z38" i="5"/>
  <c r="O38" i="5" s="1"/>
  <c r="F39" i="5"/>
  <c r="M39" i="5"/>
  <c r="Z39" i="5"/>
  <c r="O39" i="5" s="1"/>
  <c r="AJ39" i="5" s="1"/>
  <c r="F42" i="5"/>
  <c r="M42" i="5"/>
  <c r="V42" i="5"/>
  <c r="O42" i="5" s="1"/>
  <c r="AJ42" i="5" s="1"/>
  <c r="F41" i="5"/>
  <c r="M41" i="5"/>
  <c r="V41" i="5"/>
  <c r="O41" i="5" s="1"/>
  <c r="AJ41" i="5" s="1"/>
  <c r="F40" i="5"/>
  <c r="M40" i="5"/>
  <c r="V40" i="5"/>
  <c r="O40" i="5" s="1"/>
  <c r="F29" i="5"/>
  <c r="M29" i="5"/>
  <c r="V29" i="5"/>
  <c r="O29" i="5" s="1"/>
  <c r="AJ29" i="5" s="1"/>
  <c r="F24" i="5"/>
  <c r="M24" i="5"/>
  <c r="V24" i="5"/>
  <c r="O24" i="5" s="1"/>
  <c r="AJ24" i="5" s="1"/>
  <c r="F25" i="5"/>
  <c r="M25" i="5"/>
  <c r="V25" i="5"/>
  <c r="O25" i="5" s="1"/>
  <c r="AJ25" i="5" s="1"/>
  <c r="M20" i="5"/>
  <c r="F20" i="5"/>
  <c r="M18" i="5"/>
  <c r="F18" i="5"/>
  <c r="M21" i="5"/>
  <c r="M17" i="5"/>
  <c r="F17" i="5"/>
  <c r="M16" i="5"/>
  <c r="F16" i="5"/>
  <c r="M13" i="5"/>
  <c r="F13" i="5"/>
  <c r="M19" i="5"/>
  <c r="F19" i="5"/>
  <c r="M15" i="5"/>
  <c r="F15" i="5"/>
  <c r="M14" i="5"/>
  <c r="F14" i="5"/>
  <c r="Q12" i="5"/>
  <c r="O12" i="5" s="1"/>
  <c r="AI12" i="5" s="1"/>
  <c r="M12" i="5"/>
  <c r="F12" i="5"/>
  <c r="M11" i="5"/>
  <c r="F11" i="5"/>
  <c r="AB15" i="5"/>
  <c r="O15" i="5" s="1"/>
  <c r="AD19" i="5"/>
  <c r="O19" i="5" s="1"/>
  <c r="AB13" i="5"/>
  <c r="O13" i="5" s="1"/>
  <c r="AD16" i="5"/>
  <c r="AD17" i="5"/>
  <c r="O17" i="5" s="1"/>
  <c r="AI17" i="5" s="1"/>
  <c r="AD21" i="5"/>
  <c r="AD18" i="5"/>
  <c r="O18" i="5" s="1"/>
  <c r="AD20" i="5"/>
  <c r="M10" i="5"/>
  <c r="V53" i="5"/>
  <c r="O53" i="5" s="1"/>
  <c r="AJ53" i="5" s="1"/>
  <c r="I53" i="5"/>
  <c r="J53" i="5" s="1"/>
  <c r="V59" i="5"/>
  <c r="O59" i="5" s="1"/>
  <c r="AJ59" i="5" s="1"/>
  <c r="I59" i="5"/>
  <c r="J59" i="5" s="1"/>
  <c r="O52" i="5"/>
  <c r="AJ52" i="5" s="1"/>
  <c r="I52" i="5"/>
  <c r="J52" i="5" s="1"/>
  <c r="V55" i="5"/>
  <c r="O55" i="5" s="1"/>
  <c r="AJ55" i="5" s="1"/>
  <c r="I55" i="5"/>
  <c r="J55" i="5" s="1"/>
  <c r="V51" i="5"/>
  <c r="O51" i="5" s="1"/>
  <c r="AJ51" i="5" s="1"/>
  <c r="I51" i="5"/>
  <c r="J51" i="5" s="1"/>
  <c r="O60" i="5"/>
  <c r="AJ60" i="5" s="1"/>
  <c r="I60" i="5"/>
  <c r="F60" i="5" s="1"/>
  <c r="O57" i="5"/>
  <c r="AJ57" i="5" s="1"/>
  <c r="I57" i="5"/>
  <c r="J57" i="5" s="1"/>
  <c r="O54" i="5"/>
  <c r="AJ54" i="5" s="1"/>
  <c r="I54" i="5"/>
  <c r="J54" i="5" s="1"/>
  <c r="O49" i="5"/>
  <c r="AJ49" i="5" s="1"/>
  <c r="I49" i="5"/>
  <c r="J49" i="5" s="1"/>
  <c r="O58" i="5"/>
  <c r="AJ58" i="5" s="1"/>
  <c r="I58" i="5"/>
  <c r="J58" i="5" s="1"/>
  <c r="O47" i="5"/>
  <c r="I47" i="5"/>
  <c r="J47" i="5" s="1"/>
  <c r="O48" i="5"/>
  <c r="I48" i="5"/>
  <c r="J48" i="5" s="1"/>
  <c r="AG50" i="5"/>
  <c r="AJ50" i="5" s="1"/>
  <c r="I50" i="5"/>
  <c r="J50" i="5" s="1"/>
  <c r="X14" i="5"/>
  <c r="S56" i="5"/>
  <c r="O56" i="5" s="1"/>
  <c r="AI56" i="5" s="1"/>
  <c r="I56" i="5"/>
  <c r="F56" i="5" s="1"/>
  <c r="X11" i="5"/>
  <c r="X10" i="5"/>
  <c r="O10" i="5" s="1"/>
  <c r="F10" i="5"/>
  <c r="V52" i="2"/>
  <c r="V52" i="3"/>
  <c r="AJ35" i="5" l="1"/>
  <c r="E41" i="5"/>
  <c r="O27" i="5"/>
  <c r="AJ27" i="5" s="1"/>
  <c r="E33" i="5"/>
  <c r="E30" i="5"/>
  <c r="O37" i="5"/>
  <c r="AJ37" i="5" s="1"/>
  <c r="AJ32" i="5"/>
  <c r="AJ31" i="5"/>
  <c r="E32" i="5"/>
  <c r="E31" i="5"/>
  <c r="E25" i="5"/>
  <c r="E34" i="5"/>
  <c r="E42" i="5"/>
  <c r="E44" i="5"/>
  <c r="AJ30" i="5"/>
  <c r="E24" i="5"/>
  <c r="E35" i="5"/>
  <c r="E26" i="5"/>
  <c r="E29" i="5"/>
  <c r="AJ40" i="5"/>
  <c r="E40" i="5"/>
  <c r="E43" i="5"/>
  <c r="E28" i="5"/>
  <c r="E39" i="5"/>
  <c r="AJ38" i="5"/>
  <c r="E38" i="5"/>
  <c r="E36" i="5"/>
  <c r="AJ36" i="5"/>
  <c r="E18" i="5"/>
  <c r="E19" i="5"/>
  <c r="E17" i="5"/>
  <c r="E12" i="5"/>
  <c r="E15" i="5"/>
  <c r="E13" i="5"/>
  <c r="O21" i="5"/>
  <c r="AI21" i="5" s="1"/>
  <c r="O20" i="5"/>
  <c r="E20" i="5" s="1"/>
  <c r="AI15" i="5"/>
  <c r="AI18" i="5"/>
  <c r="O11" i="5"/>
  <c r="E11" i="5" s="1"/>
  <c r="AI13" i="5"/>
  <c r="O14" i="5"/>
  <c r="E14" i="5" s="1"/>
  <c r="O16" i="5"/>
  <c r="E16" i="5" s="1"/>
  <c r="AI19" i="5"/>
  <c r="F55" i="5"/>
  <c r="E55" i="5" s="1"/>
  <c r="E56" i="5"/>
  <c r="F54" i="5"/>
  <c r="E54" i="5" s="1"/>
  <c r="E60" i="5"/>
  <c r="F59" i="5"/>
  <c r="E59" i="5" s="1"/>
  <c r="F51" i="5"/>
  <c r="E51" i="5" s="1"/>
  <c r="J56" i="5"/>
  <c r="F47" i="5"/>
  <c r="E47" i="5" s="1"/>
  <c r="F57" i="5"/>
  <c r="E57" i="5" s="1"/>
  <c r="J60" i="5"/>
  <c r="F50" i="5"/>
  <c r="F48" i="5"/>
  <c r="E48" i="5" s="1"/>
  <c r="F53" i="5"/>
  <c r="E53" i="5" s="1"/>
  <c r="AI10" i="5"/>
  <c r="E10" i="5"/>
  <c r="F58" i="5"/>
  <c r="E58" i="5" s="1"/>
  <c r="F49" i="5"/>
  <c r="E49" i="5" s="1"/>
  <c r="F52" i="5"/>
  <c r="E52" i="5" s="1"/>
  <c r="E27" i="5" l="1"/>
  <c r="AM43" i="5"/>
  <c r="AM44" i="5"/>
  <c r="AM39" i="5"/>
  <c r="AM25" i="5"/>
  <c r="E37" i="5"/>
  <c r="AM41" i="5"/>
  <c r="AM35" i="5"/>
  <c r="AM36" i="5"/>
  <c r="AM34" i="5"/>
  <c r="AM42" i="5"/>
  <c r="AM30" i="5"/>
  <c r="AM37" i="5"/>
  <c r="AM28" i="5"/>
  <c r="AM40" i="5"/>
  <c r="AM29" i="5"/>
  <c r="AM32" i="5"/>
  <c r="AM38" i="5"/>
  <c r="AM26" i="5"/>
  <c r="AM27" i="5"/>
  <c r="AM24" i="5"/>
  <c r="AM33" i="5"/>
  <c r="AM31" i="5"/>
  <c r="AI20" i="5"/>
  <c r="AI16" i="5"/>
  <c r="AI11" i="5"/>
  <c r="AI14" i="5"/>
  <c r="E50" i="5"/>
  <c r="L60" i="5"/>
  <c r="M60" i="5" s="1"/>
  <c r="AL14" i="5" l="1"/>
  <c r="AL17" i="5"/>
  <c r="AL16" i="5"/>
  <c r="AL13" i="5"/>
  <c r="AL20" i="5"/>
  <c r="AL19" i="5"/>
  <c r="AM53" i="5"/>
  <c r="AL10" i="5"/>
  <c r="AM51" i="5"/>
  <c r="AM59" i="5"/>
  <c r="AL11" i="5"/>
  <c r="AL56" i="5"/>
  <c r="AL21" i="5"/>
  <c r="AL15" i="5"/>
  <c r="AM50" i="5"/>
  <c r="AM55" i="5"/>
  <c r="AL18" i="5"/>
  <c r="AL12" i="5"/>
  <c r="L56" i="5"/>
  <c r="M56" i="5" s="1"/>
  <c r="L54" i="5"/>
  <c r="M54" i="5" s="1"/>
  <c r="L57" i="5"/>
  <c r="M57" i="5" s="1"/>
  <c r="L48" i="5"/>
  <c r="M48" i="5" s="1"/>
  <c r="L49" i="5"/>
  <c r="M49" i="5" s="1"/>
  <c r="L55" i="5"/>
  <c r="M55" i="5" s="1"/>
  <c r="L50" i="5"/>
  <c r="M50" i="5" s="1"/>
  <c r="L51" i="5"/>
  <c r="M51" i="5" s="1"/>
  <c r="L53" i="5"/>
  <c r="M53" i="5" s="1"/>
  <c r="L59" i="5"/>
  <c r="M59" i="5" s="1"/>
  <c r="L47" i="5"/>
  <c r="M47" i="5" s="1"/>
  <c r="L58" i="5"/>
  <c r="M58" i="5" s="1"/>
  <c r="L52" i="5"/>
  <c r="M52" i="5" s="1"/>
  <c r="L36" i="3" l="1"/>
  <c r="L30" i="3"/>
  <c r="L20" i="3"/>
  <c r="L66" i="3"/>
  <c r="J70" i="3"/>
  <c r="AL34" i="3"/>
  <c r="AL35" i="3"/>
  <c r="AL33" i="3"/>
  <c r="AL11" i="3"/>
  <c r="AL12" i="3"/>
  <c r="AL13" i="3"/>
  <c r="AL14" i="3"/>
  <c r="AL15" i="3"/>
  <c r="AL16" i="3"/>
  <c r="AL17" i="3"/>
  <c r="AL18" i="3"/>
  <c r="AL19" i="3"/>
  <c r="AL10" i="3"/>
  <c r="C73" i="3"/>
  <c r="C67" i="3"/>
  <c r="AI66" i="3"/>
  <c r="D66" i="3"/>
  <c r="V65" i="3"/>
  <c r="O65" i="3"/>
  <c r="AJ65" i="3" s="1"/>
  <c r="J65" i="3"/>
  <c r="I65" i="3"/>
  <c r="F65" i="3" s="1"/>
  <c r="E65" i="3" s="1"/>
  <c r="V64" i="3"/>
  <c r="O64" i="3"/>
  <c r="E64" i="3" s="1"/>
  <c r="F64" i="3"/>
  <c r="V63" i="3"/>
  <c r="O63" i="3" s="1"/>
  <c r="F63" i="3"/>
  <c r="AJ62" i="3"/>
  <c r="V62" i="3"/>
  <c r="O62" i="3"/>
  <c r="F62" i="3"/>
  <c r="E62" i="3" s="1"/>
  <c r="V61" i="3"/>
  <c r="O61" i="3"/>
  <c r="AJ61" i="3" s="1"/>
  <c r="F61" i="3"/>
  <c r="E61" i="3" s="1"/>
  <c r="V60" i="3"/>
  <c r="O60" i="3" s="1"/>
  <c r="F60" i="3"/>
  <c r="V59" i="3"/>
  <c r="O59" i="3" s="1"/>
  <c r="AJ59" i="3" s="1"/>
  <c r="F59" i="3"/>
  <c r="E59" i="3" s="1"/>
  <c r="AJ58" i="3"/>
  <c r="Z58" i="3"/>
  <c r="O58" i="3"/>
  <c r="F58" i="3"/>
  <c r="E58" i="3"/>
  <c r="V57" i="3"/>
  <c r="O57" i="3" s="1"/>
  <c r="I57" i="3"/>
  <c r="J57" i="3" s="1"/>
  <c r="F57" i="3"/>
  <c r="Z56" i="3"/>
  <c r="O56" i="3" s="1"/>
  <c r="AJ56" i="3" s="1"/>
  <c r="F56" i="3"/>
  <c r="E56" i="3" s="1"/>
  <c r="V55" i="3"/>
  <c r="O55" i="3"/>
  <c r="E55" i="3" s="1"/>
  <c r="F55" i="3"/>
  <c r="O54" i="3"/>
  <c r="AJ54" i="3" s="1"/>
  <c r="I54" i="3"/>
  <c r="J54" i="3" s="1"/>
  <c r="F54" i="3"/>
  <c r="E54" i="3" s="1"/>
  <c r="V53" i="3"/>
  <c r="O53" i="3"/>
  <c r="AJ53" i="3" s="1"/>
  <c r="I53" i="3"/>
  <c r="J53" i="3" s="1"/>
  <c r="F53" i="3"/>
  <c r="E53" i="3" s="1"/>
  <c r="O52" i="3"/>
  <c r="AJ52" i="3" s="1"/>
  <c r="F52" i="3"/>
  <c r="V51" i="3"/>
  <c r="O51" i="3"/>
  <c r="AJ51" i="3" s="1"/>
  <c r="J51" i="3"/>
  <c r="I51" i="3"/>
  <c r="F51" i="3"/>
  <c r="E51" i="3" s="1"/>
  <c r="O50" i="3"/>
  <c r="AJ50" i="3" s="1"/>
  <c r="I50" i="3"/>
  <c r="J50" i="3" s="1"/>
  <c r="V49" i="3"/>
  <c r="O49" i="3"/>
  <c r="AJ49" i="3" s="1"/>
  <c r="F49" i="3"/>
  <c r="E49" i="3" s="1"/>
  <c r="AJ48" i="3"/>
  <c r="O48" i="3"/>
  <c r="I48" i="3"/>
  <c r="J48" i="3" s="1"/>
  <c r="F48" i="3"/>
  <c r="E48" i="3"/>
  <c r="V47" i="3"/>
  <c r="O47" i="3" s="1"/>
  <c r="AJ47" i="3" s="1"/>
  <c r="F47" i="3"/>
  <c r="E47" i="3" s="1"/>
  <c r="O46" i="3"/>
  <c r="AJ46" i="3" s="1"/>
  <c r="I46" i="3"/>
  <c r="J46" i="3" s="1"/>
  <c r="O45" i="3"/>
  <c r="AJ45" i="3" s="1"/>
  <c r="J45" i="3"/>
  <c r="I45" i="3"/>
  <c r="F45" i="3"/>
  <c r="E45" i="3" s="1"/>
  <c r="Z44" i="3"/>
  <c r="V44" i="3"/>
  <c r="O44" i="3"/>
  <c r="AJ44" i="3" s="1"/>
  <c r="F44" i="3"/>
  <c r="E44" i="3" s="1"/>
  <c r="V43" i="3"/>
  <c r="O43" i="3"/>
  <c r="AJ43" i="3" s="1"/>
  <c r="F43" i="3"/>
  <c r="V42" i="3"/>
  <c r="O42" i="3" s="1"/>
  <c r="AJ42" i="3" s="1"/>
  <c r="F42" i="3"/>
  <c r="Z41" i="3"/>
  <c r="V41" i="3"/>
  <c r="O41" i="3"/>
  <c r="AJ41" i="3" s="1"/>
  <c r="E41" i="3"/>
  <c r="O40" i="3"/>
  <c r="AJ40" i="3" s="1"/>
  <c r="J40" i="3"/>
  <c r="I40" i="3"/>
  <c r="F40" i="3"/>
  <c r="AJ39" i="3"/>
  <c r="V39" i="3"/>
  <c r="O39" i="3"/>
  <c r="E39" i="3" s="1"/>
  <c r="F39" i="3"/>
  <c r="O38" i="3"/>
  <c r="F38" i="3"/>
  <c r="E38" i="3"/>
  <c r="AJ36" i="3"/>
  <c r="O36" i="3"/>
  <c r="J36" i="3"/>
  <c r="K36" i="3" s="1"/>
  <c r="F36" i="3"/>
  <c r="F37" i="3" s="1"/>
  <c r="D36" i="3"/>
  <c r="C37" i="3" s="1"/>
  <c r="AD35" i="3"/>
  <c r="O35" i="3" s="1"/>
  <c r="F35" i="3"/>
  <c r="AI34" i="3"/>
  <c r="AD34" i="3"/>
  <c r="O34" i="3"/>
  <c r="F34" i="3"/>
  <c r="E34" i="3"/>
  <c r="AD33" i="3"/>
  <c r="O33" i="3"/>
  <c r="AI33" i="3" s="1"/>
  <c r="O32" i="3"/>
  <c r="E32" i="3" s="1"/>
  <c r="F32" i="3"/>
  <c r="O31" i="3"/>
  <c r="AI30" i="3"/>
  <c r="O30" i="3"/>
  <c r="D30" i="3"/>
  <c r="C31" i="3" s="1"/>
  <c r="AG29" i="3"/>
  <c r="AJ29" i="3" s="1"/>
  <c r="O29" i="3"/>
  <c r="F29" i="3"/>
  <c r="E29" i="3" s="1"/>
  <c r="AJ28" i="3"/>
  <c r="AG28" i="3"/>
  <c r="O28" i="3"/>
  <c r="F28" i="3"/>
  <c r="E28" i="3"/>
  <c r="AG27" i="3"/>
  <c r="O27" i="3"/>
  <c r="AJ27" i="3" s="1"/>
  <c r="F27" i="3"/>
  <c r="E27" i="3" s="1"/>
  <c r="AG26" i="3"/>
  <c r="O26" i="3"/>
  <c r="E26" i="3" s="1"/>
  <c r="F26" i="3"/>
  <c r="O25" i="3"/>
  <c r="I25" i="3"/>
  <c r="J25" i="3" s="1"/>
  <c r="F25" i="3"/>
  <c r="E25" i="3"/>
  <c r="O24" i="3"/>
  <c r="I24" i="3"/>
  <c r="J24" i="3" s="1"/>
  <c r="AG23" i="3"/>
  <c r="AJ23" i="3" s="1"/>
  <c r="J23" i="3"/>
  <c r="I23" i="3"/>
  <c r="F23" i="3"/>
  <c r="O22" i="3"/>
  <c r="F22" i="3"/>
  <c r="E22" i="3"/>
  <c r="AJ20" i="3"/>
  <c r="O20" i="3"/>
  <c r="D20" i="3"/>
  <c r="C21" i="3" s="1"/>
  <c r="AI19" i="3"/>
  <c r="AD19" i="3"/>
  <c r="O19" i="3"/>
  <c r="F19" i="3"/>
  <c r="E19" i="3"/>
  <c r="AD18" i="3"/>
  <c r="O18" i="3" s="1"/>
  <c r="AI18" i="3" s="1"/>
  <c r="F18" i="3"/>
  <c r="E18" i="3" s="1"/>
  <c r="AB17" i="3"/>
  <c r="O17" i="3"/>
  <c r="E17" i="3" s="1"/>
  <c r="F17" i="3"/>
  <c r="AD16" i="3"/>
  <c r="O16" i="3" s="1"/>
  <c r="F16" i="3"/>
  <c r="AI15" i="3"/>
  <c r="AB15" i="3"/>
  <c r="O15" i="3"/>
  <c r="F15" i="3"/>
  <c r="E15" i="3"/>
  <c r="X14" i="3"/>
  <c r="O14" i="3"/>
  <c r="AI14" i="3" s="1"/>
  <c r="F14" i="3"/>
  <c r="E14" i="3" s="1"/>
  <c r="S13" i="3"/>
  <c r="O13" i="3"/>
  <c r="AI13" i="3" s="1"/>
  <c r="I13" i="3"/>
  <c r="J13" i="3" s="1"/>
  <c r="F13" i="3"/>
  <c r="E13" i="3" s="1"/>
  <c r="Q12" i="3"/>
  <c r="O12" i="3"/>
  <c r="AI12" i="3" s="1"/>
  <c r="F12" i="3"/>
  <c r="X11" i="3"/>
  <c r="O11" i="3" s="1"/>
  <c r="AI11" i="3" s="1"/>
  <c r="F11" i="3"/>
  <c r="E11" i="3" s="1"/>
  <c r="AI10" i="3"/>
  <c r="X10" i="3"/>
  <c r="O10" i="3"/>
  <c r="X70" i="3" s="1"/>
  <c r="F10" i="3"/>
  <c r="F20" i="3" s="1"/>
  <c r="E10" i="3"/>
  <c r="C73" i="2"/>
  <c r="AI66" i="2"/>
  <c r="D66" i="2"/>
  <c r="C67" i="2" s="1"/>
  <c r="V65" i="2"/>
  <c r="O65" i="2" s="1"/>
  <c r="AJ65" i="2" s="1"/>
  <c r="I65" i="2"/>
  <c r="J65" i="2" s="1"/>
  <c r="V64" i="2"/>
  <c r="O64" i="2" s="1"/>
  <c r="F64" i="2"/>
  <c r="V63" i="2"/>
  <c r="O63" i="2" s="1"/>
  <c r="F63" i="2"/>
  <c r="V62" i="2"/>
  <c r="O62" i="2"/>
  <c r="AJ62" i="2" s="1"/>
  <c r="F62" i="2"/>
  <c r="V61" i="2"/>
  <c r="O61" i="2"/>
  <c r="AJ61" i="2" s="1"/>
  <c r="F61" i="2"/>
  <c r="V60" i="2"/>
  <c r="O60" i="2" s="1"/>
  <c r="F60" i="2"/>
  <c r="V59" i="2"/>
  <c r="O59" i="2" s="1"/>
  <c r="F59" i="2"/>
  <c r="Z58" i="2"/>
  <c r="O58" i="2" s="1"/>
  <c r="AJ58" i="2" s="1"/>
  <c r="F58" i="2"/>
  <c r="V57" i="2"/>
  <c r="O57" i="2" s="1"/>
  <c r="AJ57" i="2" s="1"/>
  <c r="I57" i="2"/>
  <c r="J57" i="2" s="1"/>
  <c r="Z56" i="2"/>
  <c r="O56" i="2"/>
  <c r="AJ56" i="2" s="1"/>
  <c r="F56" i="2"/>
  <c r="V55" i="2"/>
  <c r="O55" i="2" s="1"/>
  <c r="F55" i="2"/>
  <c r="O54" i="2"/>
  <c r="AJ54" i="2" s="1"/>
  <c r="I54" i="2"/>
  <c r="J54" i="2" s="1"/>
  <c r="V53" i="2"/>
  <c r="O53" i="2" s="1"/>
  <c r="AJ53" i="2" s="1"/>
  <c r="I53" i="2"/>
  <c r="J53" i="2" s="1"/>
  <c r="O52" i="2"/>
  <c r="AJ52" i="2" s="1"/>
  <c r="F52" i="2"/>
  <c r="V51" i="2"/>
  <c r="O51" i="2" s="1"/>
  <c r="AJ51" i="2" s="1"/>
  <c r="I51" i="2"/>
  <c r="J51" i="2" s="1"/>
  <c r="O50" i="2"/>
  <c r="AJ50" i="2" s="1"/>
  <c r="I50" i="2"/>
  <c r="J50" i="2" s="1"/>
  <c r="V49" i="2"/>
  <c r="O49" i="2" s="1"/>
  <c r="AJ49" i="2" s="1"/>
  <c r="F49" i="2"/>
  <c r="O48" i="2"/>
  <c r="AJ48" i="2" s="1"/>
  <c r="I48" i="2"/>
  <c r="J48" i="2" s="1"/>
  <c r="F48" i="2"/>
  <c r="V47" i="2"/>
  <c r="O47" i="2" s="1"/>
  <c r="AJ47" i="2" s="1"/>
  <c r="F47" i="2"/>
  <c r="O46" i="2"/>
  <c r="AJ46" i="2" s="1"/>
  <c r="I46" i="2"/>
  <c r="J46" i="2" s="1"/>
  <c r="O45" i="2"/>
  <c r="AJ45" i="2" s="1"/>
  <c r="I45" i="2"/>
  <c r="J45" i="2" s="1"/>
  <c r="Z44" i="2"/>
  <c r="O44" i="2" s="1"/>
  <c r="AJ44" i="2" s="1"/>
  <c r="V44" i="2"/>
  <c r="F44" i="2"/>
  <c r="V43" i="2"/>
  <c r="O43" i="2" s="1"/>
  <c r="F43" i="2"/>
  <c r="V42" i="2"/>
  <c r="O42" i="2" s="1"/>
  <c r="F42" i="2"/>
  <c r="Z41" i="2"/>
  <c r="V41" i="2"/>
  <c r="O40" i="2"/>
  <c r="AJ40" i="2" s="1"/>
  <c r="I40" i="2"/>
  <c r="J40" i="2" s="1"/>
  <c r="V39" i="2"/>
  <c r="O39" i="2"/>
  <c r="AJ39" i="2" s="1"/>
  <c r="F39" i="2"/>
  <c r="O38" i="2"/>
  <c r="F38" i="2"/>
  <c r="E38" i="2" s="1"/>
  <c r="AJ36" i="2"/>
  <c r="O36" i="2"/>
  <c r="J36" i="2"/>
  <c r="K36" i="2" s="1"/>
  <c r="F36" i="2"/>
  <c r="F37" i="2" s="1"/>
  <c r="D36" i="2"/>
  <c r="C37" i="2" s="1"/>
  <c r="AD35" i="2"/>
  <c r="O35" i="2" s="1"/>
  <c r="F35" i="2"/>
  <c r="AD34" i="2"/>
  <c r="O34" i="2" s="1"/>
  <c r="F34" i="2"/>
  <c r="AD33" i="2"/>
  <c r="O33" i="2" s="1"/>
  <c r="AI33" i="2" s="1"/>
  <c r="O32" i="2"/>
  <c r="F32" i="2"/>
  <c r="E32" i="2"/>
  <c r="O31" i="2"/>
  <c r="AI30" i="2"/>
  <c r="O30" i="2"/>
  <c r="D30" i="2"/>
  <c r="C31" i="2" s="1"/>
  <c r="AG29" i="2"/>
  <c r="O29" i="2"/>
  <c r="F29" i="2"/>
  <c r="E29" i="2"/>
  <c r="AG28" i="2"/>
  <c r="O28" i="2"/>
  <c r="F28" i="2"/>
  <c r="E28" i="2" s="1"/>
  <c r="AG27" i="2"/>
  <c r="O27" i="2"/>
  <c r="F27" i="2"/>
  <c r="AG26" i="2"/>
  <c r="O26" i="2"/>
  <c r="AJ26" i="2" s="1"/>
  <c r="F26" i="2"/>
  <c r="O25" i="2"/>
  <c r="I25" i="2"/>
  <c r="J25" i="2" s="1"/>
  <c r="O24" i="2"/>
  <c r="I24" i="2"/>
  <c r="F24" i="2" s="1"/>
  <c r="AG23" i="2"/>
  <c r="AJ23" i="2" s="1"/>
  <c r="I23" i="2"/>
  <c r="J23" i="2" s="1"/>
  <c r="F23" i="2"/>
  <c r="E23" i="2" s="1"/>
  <c r="O22" i="2"/>
  <c r="F22" i="2"/>
  <c r="AJ20" i="2"/>
  <c r="O20" i="2"/>
  <c r="D20" i="2"/>
  <c r="AD19" i="2"/>
  <c r="O19" i="2"/>
  <c r="AI19" i="2" s="1"/>
  <c r="F19" i="2"/>
  <c r="E19" i="2" s="1"/>
  <c r="AD18" i="2"/>
  <c r="O18" i="2" s="1"/>
  <c r="AI18" i="2" s="1"/>
  <c r="F18" i="2"/>
  <c r="AB17" i="2"/>
  <c r="O17" i="2" s="1"/>
  <c r="AI17" i="2" s="1"/>
  <c r="F17" i="2"/>
  <c r="AD16" i="2"/>
  <c r="O16" i="2" s="1"/>
  <c r="F16" i="2"/>
  <c r="AB15" i="2"/>
  <c r="O15" i="2" s="1"/>
  <c r="AI15" i="2" s="1"/>
  <c r="F15" i="2"/>
  <c r="X14" i="2"/>
  <c r="O14" i="2"/>
  <c r="AI14" i="2" s="1"/>
  <c r="F14" i="2"/>
  <c r="S13" i="2"/>
  <c r="O13" i="2" s="1"/>
  <c r="I13" i="2"/>
  <c r="J13" i="2" s="1"/>
  <c r="Q12" i="2"/>
  <c r="O12" i="2" s="1"/>
  <c r="F12" i="2"/>
  <c r="X11" i="2"/>
  <c r="O11" i="2" s="1"/>
  <c r="F11" i="2"/>
  <c r="X10" i="2"/>
  <c r="O10" i="2" s="1"/>
  <c r="F10" i="2"/>
  <c r="AM26" i="3" l="1"/>
  <c r="AM43" i="3"/>
  <c r="AM56" i="3"/>
  <c r="AM64" i="3"/>
  <c r="AM27" i="3"/>
  <c r="AM44" i="3"/>
  <c r="AM57" i="3"/>
  <c r="AM65" i="3"/>
  <c r="AM29" i="3"/>
  <c r="AM30" i="3"/>
  <c r="AM49" i="3"/>
  <c r="AM60" i="3"/>
  <c r="AM23" i="3"/>
  <c r="AM39" i="3"/>
  <c r="AM51" i="3"/>
  <c r="AM61" i="3"/>
  <c r="AM28" i="3"/>
  <c r="AM41" i="3"/>
  <c r="AM53" i="3"/>
  <c r="AM62" i="3"/>
  <c r="AM58" i="3"/>
  <c r="AM42" i="3"/>
  <c r="AM55" i="3"/>
  <c r="AM63" i="3"/>
  <c r="AM47" i="3"/>
  <c r="AM59" i="3"/>
  <c r="E52" i="3"/>
  <c r="E42" i="3"/>
  <c r="L65" i="3"/>
  <c r="Q69" i="3"/>
  <c r="J66" i="3"/>
  <c r="AJ60" i="3"/>
  <c r="E60" i="3"/>
  <c r="AI35" i="3"/>
  <c r="AI36" i="3" s="1"/>
  <c r="AI37" i="3" s="1"/>
  <c r="E35" i="3"/>
  <c r="L45" i="3"/>
  <c r="AJ63" i="3"/>
  <c r="E63" i="3"/>
  <c r="J20" i="3"/>
  <c r="AI16" i="3"/>
  <c r="AI20" i="3" s="1"/>
  <c r="E16" i="3"/>
  <c r="L24" i="3"/>
  <c r="L25" i="3"/>
  <c r="L46" i="3"/>
  <c r="L51" i="3"/>
  <c r="AJ57" i="3"/>
  <c r="E57" i="3"/>
  <c r="F30" i="3"/>
  <c r="F21" i="3"/>
  <c r="E20" i="3"/>
  <c r="E40" i="3"/>
  <c r="Q68" i="3"/>
  <c r="E12" i="3"/>
  <c r="AI17" i="3"/>
  <c r="AJ26" i="3"/>
  <c r="AJ30" i="3" s="1"/>
  <c r="E43" i="3"/>
  <c r="AJ55" i="3"/>
  <c r="AJ66" i="3" s="1"/>
  <c r="AJ67" i="3" s="1"/>
  <c r="AJ64" i="3"/>
  <c r="E23" i="3"/>
  <c r="F24" i="3"/>
  <c r="E24" i="3" s="1"/>
  <c r="D68" i="3"/>
  <c r="C74" i="3" s="1"/>
  <c r="J30" i="3"/>
  <c r="L23" i="3" s="1"/>
  <c r="L40" i="3"/>
  <c r="F46" i="3"/>
  <c r="E46" i="3" s="1"/>
  <c r="F50" i="3"/>
  <c r="E50" i="3" s="1"/>
  <c r="E36" i="3"/>
  <c r="E60" i="2"/>
  <c r="E43" i="2"/>
  <c r="E10" i="2"/>
  <c r="E48" i="2"/>
  <c r="F45" i="2"/>
  <c r="E45" i="2" s="1"/>
  <c r="E22" i="2"/>
  <c r="E26" i="2"/>
  <c r="E39" i="2"/>
  <c r="E18" i="2"/>
  <c r="E27" i="2"/>
  <c r="E52" i="2"/>
  <c r="F65" i="2"/>
  <c r="E44" i="2"/>
  <c r="J66" i="2"/>
  <c r="O41" i="2"/>
  <c r="AJ41" i="2" s="1"/>
  <c r="F50" i="2"/>
  <c r="E50" i="2" s="1"/>
  <c r="AJ28" i="2"/>
  <c r="F57" i="2"/>
  <c r="AI11" i="2"/>
  <c r="E11" i="2"/>
  <c r="AI16" i="2"/>
  <c r="E16" i="2"/>
  <c r="AI34" i="2"/>
  <c r="E34" i="2"/>
  <c r="E57" i="2"/>
  <c r="E62" i="2"/>
  <c r="E14" i="2"/>
  <c r="F40" i="2"/>
  <c r="F46" i="2"/>
  <c r="E46" i="2" s="1"/>
  <c r="F51" i="2"/>
  <c r="E51" i="2" s="1"/>
  <c r="D68" i="2"/>
  <c r="C74" i="2" s="1"/>
  <c r="E17" i="2"/>
  <c r="F25" i="2"/>
  <c r="F30" i="2" s="1"/>
  <c r="AJ27" i="2"/>
  <c r="E49" i="2"/>
  <c r="E47" i="2"/>
  <c r="E58" i="2"/>
  <c r="E15" i="2"/>
  <c r="F13" i="2"/>
  <c r="F20" i="2" s="1"/>
  <c r="E20" i="2" s="1"/>
  <c r="AJ29" i="2"/>
  <c r="E56" i="2"/>
  <c r="E61" i="2"/>
  <c r="AJ64" i="2"/>
  <c r="E64" i="2"/>
  <c r="X70" i="2"/>
  <c r="Q69" i="2"/>
  <c r="E35" i="2"/>
  <c r="AI35" i="2"/>
  <c r="E65" i="2"/>
  <c r="E24" i="2"/>
  <c r="AJ59" i="2"/>
  <c r="E59" i="2"/>
  <c r="AJ55" i="2"/>
  <c r="E55" i="2"/>
  <c r="AI13" i="2"/>
  <c r="E63" i="2"/>
  <c r="AJ63" i="2"/>
  <c r="E12" i="2"/>
  <c r="AI12" i="2"/>
  <c r="Q68" i="2"/>
  <c r="AJ42" i="2"/>
  <c r="E42" i="2"/>
  <c r="J20" i="2"/>
  <c r="F53" i="2"/>
  <c r="F54" i="2"/>
  <c r="E54" i="2" s="1"/>
  <c r="C21" i="2"/>
  <c r="J24" i="2"/>
  <c r="AJ43" i="2"/>
  <c r="AJ60" i="2"/>
  <c r="E40" i="2"/>
  <c r="AI10" i="2"/>
  <c r="E36" i="2"/>
  <c r="E68" i="3" l="1"/>
  <c r="AI21" i="3"/>
  <c r="AI68" i="3"/>
  <c r="X68" i="3" s="1"/>
  <c r="AJ31" i="3"/>
  <c r="AJ68" i="3"/>
  <c r="X69" i="3" s="1"/>
  <c r="R69" i="3"/>
  <c r="K66" i="3"/>
  <c r="L13" i="3"/>
  <c r="L57" i="3"/>
  <c r="J68" i="3"/>
  <c r="K20" i="3"/>
  <c r="L50" i="3"/>
  <c r="L54" i="3"/>
  <c r="F31" i="3"/>
  <c r="E30" i="3"/>
  <c r="L53" i="3"/>
  <c r="F68" i="3"/>
  <c r="F66" i="3"/>
  <c r="F67" i="3" s="1"/>
  <c r="K30" i="3"/>
  <c r="L48" i="3"/>
  <c r="E41" i="2"/>
  <c r="AJ30" i="2"/>
  <c r="AJ31" i="2" s="1"/>
  <c r="E13" i="2"/>
  <c r="AI36" i="2"/>
  <c r="AI37" i="2" s="1"/>
  <c r="E25" i="2"/>
  <c r="J70" i="2"/>
  <c r="AJ66" i="2"/>
  <c r="AJ67" i="2" s="1"/>
  <c r="AI20" i="2"/>
  <c r="AI68" i="2" s="1"/>
  <c r="X68" i="2" s="1"/>
  <c r="F21" i="2"/>
  <c r="R69" i="2"/>
  <c r="J30" i="2"/>
  <c r="K30" i="2" s="1"/>
  <c r="K20" i="2"/>
  <c r="F31" i="2"/>
  <c r="E30" i="2"/>
  <c r="AI21" i="2"/>
  <c r="E53" i="2"/>
  <c r="F66" i="2"/>
  <c r="Q70" i="3" l="1"/>
  <c r="F74" i="3"/>
  <c r="F73" i="3"/>
  <c r="J69" i="3"/>
  <c r="K68" i="3"/>
  <c r="AJ68" i="2"/>
  <c r="X69" i="2" s="1"/>
  <c r="L65" i="2"/>
  <c r="E68" i="2"/>
  <c r="L51" i="2"/>
  <c r="L45" i="2"/>
  <c r="L24" i="2"/>
  <c r="L23" i="2"/>
  <c r="L25" i="2"/>
  <c r="L50" i="2"/>
  <c r="L48" i="2"/>
  <c r="F67" i="2"/>
  <c r="K66" i="2"/>
  <c r="L53" i="2"/>
  <c r="J68" i="2"/>
  <c r="L40" i="2"/>
  <c r="L54" i="2"/>
  <c r="L46" i="2"/>
  <c r="L13" i="2"/>
  <c r="L57" i="2"/>
  <c r="F68" i="2"/>
  <c r="F74" i="2" l="1"/>
  <c r="F73" i="2"/>
  <c r="Q70" i="2"/>
  <c r="J69" i="2"/>
  <c r="K68" i="2"/>
  <c r="C75" i="1" l="1"/>
  <c r="AI68" i="1"/>
  <c r="D68" i="1"/>
  <c r="C69" i="1" s="1"/>
  <c r="V67" i="1"/>
  <c r="O67" i="1" s="1"/>
  <c r="AJ67" i="1" s="1"/>
  <c r="I67" i="1"/>
  <c r="J67" i="1" s="1"/>
  <c r="F67" i="1"/>
  <c r="V66" i="1"/>
  <c r="O66" i="1" s="1"/>
  <c r="F66" i="1"/>
  <c r="V65" i="1"/>
  <c r="O65" i="1" s="1"/>
  <c r="F65" i="1"/>
  <c r="V64" i="1"/>
  <c r="O64" i="1"/>
  <c r="AJ64" i="1" s="1"/>
  <c r="F64" i="1"/>
  <c r="E64" i="1" s="1"/>
  <c r="V63" i="1"/>
  <c r="O63" i="1"/>
  <c r="AJ63" i="1" s="1"/>
  <c r="F63" i="1"/>
  <c r="V62" i="1"/>
  <c r="O62" i="1" s="1"/>
  <c r="AJ62" i="1" s="1"/>
  <c r="F62" i="1"/>
  <c r="V61" i="1"/>
  <c r="O61" i="1" s="1"/>
  <c r="F61" i="1"/>
  <c r="Z60" i="1"/>
  <c r="O60" i="1" s="1"/>
  <c r="AJ60" i="1" s="1"/>
  <c r="F60" i="1"/>
  <c r="V59" i="1"/>
  <c r="O59" i="1" s="1"/>
  <c r="AJ59" i="1" s="1"/>
  <c r="I59" i="1"/>
  <c r="J59" i="1" s="1"/>
  <c r="Z58" i="1"/>
  <c r="O58" i="1"/>
  <c r="AJ58" i="1" s="1"/>
  <c r="F58" i="1"/>
  <c r="E58" i="1" s="1"/>
  <c r="V57" i="1"/>
  <c r="O57" i="1" s="1"/>
  <c r="F57" i="1"/>
  <c r="O56" i="1"/>
  <c r="AJ56" i="1" s="1"/>
  <c r="I56" i="1"/>
  <c r="J56" i="1" s="1"/>
  <c r="V55" i="1"/>
  <c r="O55" i="1"/>
  <c r="AJ55" i="1" s="1"/>
  <c r="I55" i="1"/>
  <c r="J55" i="1" s="1"/>
  <c r="O54" i="1"/>
  <c r="AJ54" i="1" s="1"/>
  <c r="F54" i="1"/>
  <c r="V53" i="1"/>
  <c r="O53" i="1" s="1"/>
  <c r="AJ53" i="1" s="1"/>
  <c r="I53" i="1"/>
  <c r="J53" i="1" s="1"/>
  <c r="F53" i="1"/>
  <c r="E53" i="1" s="1"/>
  <c r="O52" i="1"/>
  <c r="AJ52" i="1" s="1"/>
  <c r="I52" i="1"/>
  <c r="J52" i="1" s="1"/>
  <c r="F52" i="1"/>
  <c r="E52" i="1"/>
  <c r="V51" i="1"/>
  <c r="O51" i="1"/>
  <c r="AJ51" i="1" s="1"/>
  <c r="F51" i="1"/>
  <c r="E51" i="1" s="1"/>
  <c r="O50" i="1"/>
  <c r="AJ50" i="1" s="1"/>
  <c r="I50" i="1"/>
  <c r="J50" i="1" s="1"/>
  <c r="F50" i="1"/>
  <c r="V49" i="1"/>
  <c r="O49" i="1" s="1"/>
  <c r="AJ49" i="1" s="1"/>
  <c r="F49" i="1"/>
  <c r="O48" i="1"/>
  <c r="AJ48" i="1" s="1"/>
  <c r="I48" i="1"/>
  <c r="J48" i="1" s="1"/>
  <c r="O47" i="1"/>
  <c r="E47" i="1" s="1"/>
  <c r="I47" i="1"/>
  <c r="J47" i="1" s="1"/>
  <c r="F47" i="1"/>
  <c r="Z46" i="1"/>
  <c r="V46" i="1"/>
  <c r="O46" i="1"/>
  <c r="AJ46" i="1" s="1"/>
  <c r="F46" i="1"/>
  <c r="V45" i="1"/>
  <c r="O45" i="1"/>
  <c r="AJ45" i="1" s="1"/>
  <c r="F45" i="1"/>
  <c r="E45" i="1" s="1"/>
  <c r="V44" i="1"/>
  <c r="O44" i="1" s="1"/>
  <c r="F44" i="1"/>
  <c r="Z43" i="1"/>
  <c r="O43" i="1" s="1"/>
  <c r="V43" i="1"/>
  <c r="O42" i="1"/>
  <c r="AJ42" i="1" s="1"/>
  <c r="J42" i="1"/>
  <c r="I42" i="1"/>
  <c r="F42" i="1" s="1"/>
  <c r="V41" i="1"/>
  <c r="O41" i="1"/>
  <c r="AJ41" i="1" s="1"/>
  <c r="F41" i="1"/>
  <c r="E41" i="1" s="1"/>
  <c r="O40" i="1"/>
  <c r="F40" i="1"/>
  <c r="E40" i="1"/>
  <c r="AJ38" i="1"/>
  <c r="O38" i="1"/>
  <c r="J38" i="1"/>
  <c r="K38" i="1" s="1"/>
  <c r="F38" i="1"/>
  <c r="F39" i="1" s="1"/>
  <c r="D38" i="1"/>
  <c r="C39" i="1" s="1"/>
  <c r="AD37" i="1"/>
  <c r="O37" i="1" s="1"/>
  <c r="F37" i="1"/>
  <c r="AD36" i="1"/>
  <c r="O36" i="1" s="1"/>
  <c r="F36" i="1"/>
  <c r="AD35" i="1"/>
  <c r="O35" i="1" s="1"/>
  <c r="AI35" i="1" s="1"/>
  <c r="O34" i="1"/>
  <c r="F34" i="1"/>
  <c r="E34" i="1"/>
  <c r="O33" i="1"/>
  <c r="AI32" i="1"/>
  <c r="O32" i="1"/>
  <c r="D32" i="1"/>
  <c r="C33" i="1" s="1"/>
  <c r="AG31" i="1"/>
  <c r="O31" i="1"/>
  <c r="F31" i="1"/>
  <c r="E31" i="1"/>
  <c r="AG30" i="1"/>
  <c r="O30" i="1"/>
  <c r="AJ30" i="1" s="1"/>
  <c r="F30" i="1"/>
  <c r="E30" i="1" s="1"/>
  <c r="AG29" i="1"/>
  <c r="O29" i="1"/>
  <c r="AJ29" i="1" s="1"/>
  <c r="F29" i="1"/>
  <c r="E29" i="1" s="1"/>
  <c r="AG28" i="1"/>
  <c r="O28" i="1"/>
  <c r="AJ28" i="1" s="1"/>
  <c r="F28" i="1"/>
  <c r="E28" i="1"/>
  <c r="O27" i="1"/>
  <c r="I27" i="1"/>
  <c r="J27" i="1" s="1"/>
  <c r="F27" i="1"/>
  <c r="O26" i="1"/>
  <c r="I26" i="1"/>
  <c r="F26" i="1" s="1"/>
  <c r="AG25" i="1"/>
  <c r="AJ25" i="1" s="1"/>
  <c r="I25" i="1"/>
  <c r="J25" i="1" s="1"/>
  <c r="O24" i="1"/>
  <c r="F24" i="1"/>
  <c r="E24" i="1"/>
  <c r="AJ22" i="1"/>
  <c r="O22" i="1"/>
  <c r="D22" i="1"/>
  <c r="D70" i="1" s="1"/>
  <c r="C76" i="1" s="1"/>
  <c r="AB21" i="1"/>
  <c r="O21" i="1" s="1"/>
  <c r="AD20" i="1"/>
  <c r="O20" i="1"/>
  <c r="AI20" i="1" s="1"/>
  <c r="F20" i="1"/>
  <c r="E20" i="1" s="1"/>
  <c r="AD19" i="1"/>
  <c r="O19" i="1"/>
  <c r="AI19" i="1" s="1"/>
  <c r="F19" i="1"/>
  <c r="E19" i="1" s="1"/>
  <c r="AB18" i="1"/>
  <c r="O18" i="1"/>
  <c r="AI18" i="1" s="1"/>
  <c r="F18" i="1"/>
  <c r="E18" i="1" s="1"/>
  <c r="AD17" i="1"/>
  <c r="O17" i="1"/>
  <c r="AI17" i="1" s="1"/>
  <c r="F17" i="1"/>
  <c r="E17" i="1"/>
  <c r="AB16" i="1"/>
  <c r="O16" i="1" s="1"/>
  <c r="F16" i="1"/>
  <c r="AB15" i="1"/>
  <c r="O15" i="1"/>
  <c r="AI15" i="1" s="1"/>
  <c r="F15" i="1"/>
  <c r="X14" i="1"/>
  <c r="O14" i="1"/>
  <c r="AI14" i="1" s="1"/>
  <c r="F14" i="1"/>
  <c r="E14" i="1" s="1"/>
  <c r="S13" i="1"/>
  <c r="O13" i="1" s="1"/>
  <c r="I13" i="1"/>
  <c r="J13" i="1" s="1"/>
  <c r="F13" i="1"/>
  <c r="F22" i="1" s="1"/>
  <c r="Q12" i="1"/>
  <c r="O12" i="1" s="1"/>
  <c r="F12" i="1"/>
  <c r="X11" i="1"/>
  <c r="O11" i="1"/>
  <c r="AI11" i="1" s="1"/>
  <c r="F11" i="1"/>
  <c r="X10" i="1"/>
  <c r="O10" i="1"/>
  <c r="F10" i="1"/>
  <c r="E10" i="1" s="1"/>
  <c r="E43" i="1" l="1"/>
  <c r="AJ43" i="1"/>
  <c r="AI36" i="1"/>
  <c r="E36" i="1"/>
  <c r="E50" i="1"/>
  <c r="E67" i="1"/>
  <c r="AJ47" i="1"/>
  <c r="E15" i="1"/>
  <c r="F48" i="1"/>
  <c r="E48" i="1" s="1"/>
  <c r="F59" i="1"/>
  <c r="E59" i="1" s="1"/>
  <c r="E49" i="1"/>
  <c r="E62" i="1"/>
  <c r="E11" i="1"/>
  <c r="F25" i="1"/>
  <c r="E25" i="1" s="1"/>
  <c r="E27" i="1"/>
  <c r="AJ31" i="1"/>
  <c r="AJ32" i="1" s="1"/>
  <c r="AJ33" i="1" s="1"/>
  <c r="E46" i="1"/>
  <c r="E54" i="1"/>
  <c r="E63" i="1"/>
  <c r="E26" i="1"/>
  <c r="F32" i="1"/>
  <c r="E12" i="1"/>
  <c r="AI12" i="1"/>
  <c r="Q70" i="1"/>
  <c r="E42" i="1"/>
  <c r="AJ44" i="1"/>
  <c r="E44" i="1"/>
  <c r="AJ61" i="1"/>
  <c r="E61" i="1"/>
  <c r="AI21" i="1"/>
  <c r="E21" i="1"/>
  <c r="AJ66" i="1"/>
  <c r="E66" i="1"/>
  <c r="AI16" i="1"/>
  <c r="E16" i="1"/>
  <c r="X72" i="1"/>
  <c r="J68" i="1"/>
  <c r="J22" i="1"/>
  <c r="AI13" i="1"/>
  <c r="E13" i="1"/>
  <c r="Q71" i="1"/>
  <c r="E37" i="1"/>
  <c r="AI37" i="1"/>
  <c r="AI38" i="1" s="1"/>
  <c r="AI39" i="1" s="1"/>
  <c r="AJ57" i="1"/>
  <c r="E57" i="1"/>
  <c r="E65" i="1"/>
  <c r="AJ65" i="1"/>
  <c r="J32" i="1"/>
  <c r="K32" i="1" s="1"/>
  <c r="E60" i="1"/>
  <c r="F55" i="1"/>
  <c r="E55" i="1" s="1"/>
  <c r="F56" i="1"/>
  <c r="E56" i="1" s="1"/>
  <c r="C23" i="1"/>
  <c r="J26" i="1"/>
  <c r="E22" i="1"/>
  <c r="F23" i="1"/>
  <c r="AI10" i="1"/>
  <c r="AI22" i="1" s="1"/>
  <c r="E38" i="1"/>
  <c r="L52" i="1" l="1"/>
  <c r="L59" i="1"/>
  <c r="AJ68" i="1"/>
  <c r="AJ69" i="1" s="1"/>
  <c r="R71" i="1"/>
  <c r="L25" i="1"/>
  <c r="L42" i="1"/>
  <c r="J72" i="1"/>
  <c r="L67" i="1"/>
  <c r="L47" i="1"/>
  <c r="L50" i="1"/>
  <c r="L56" i="1"/>
  <c r="L26" i="1"/>
  <c r="J70" i="1"/>
  <c r="K22" i="1"/>
  <c r="F33" i="1"/>
  <c r="E32" i="1"/>
  <c r="E70" i="1" s="1"/>
  <c r="L48" i="1"/>
  <c r="L13" i="1"/>
  <c r="F68" i="1"/>
  <c r="K68" i="1" s="1"/>
  <c r="L55" i="1"/>
  <c r="AI23" i="1"/>
  <c r="AI70" i="1"/>
  <c r="X70" i="1" s="1"/>
  <c r="L27" i="1"/>
  <c r="L53" i="1"/>
  <c r="AJ70" i="1" l="1"/>
  <c r="X71" i="1" s="1"/>
  <c r="F69" i="1"/>
  <c r="F70" i="1"/>
  <c r="K70" i="1" s="1"/>
  <c r="F76" i="1" l="1"/>
  <c r="F75" i="1"/>
  <c r="Q72" i="1"/>
  <c r="J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</author>
  </authors>
  <commentList>
    <comment ref="AF3" authorId="0" shapeId="0" xr:uid="{C0C38191-EC6F-4F5C-B2EA-81BE8932D11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Qld has only exceedances, not actual values. No TCl, FCl, DCAA, TCAA, PFAS, bromate, Pb or F data for Indig. supplies</t>
        </r>
      </text>
    </comment>
    <comment ref="I4" authorId="0" shapeId="0" xr:uid="{08E0AD4C-818E-4716-9D3C-7BF31AE093D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positives/samples taken</t>
        </r>
      </text>
    </comment>
    <comment ref="U5" authorId="0" shapeId="0" xr:uid="{A5C909F3-62AC-4E6A-AE95-7B6F02F1A763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for bottle fed infants as lower than 150 for general pop</t>
        </r>
      </text>
    </comment>
    <comment ref="AA5" authorId="0" shapeId="0" xr:uid="{073E8618-8313-4651-9BF8-DEB557C52EC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raised from 0.017 in recent ADWG change to be consistent with rounding advice</t>
        </r>
      </text>
    </comment>
    <comment ref="C10" authorId="0" shapeId="0" xr:uid="{3B81175B-6DCE-46A4-B067-96DAB2E18681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also had one +ve E. coli but not entered as sample contaminated (P&amp;W)</t>
        </r>
      </text>
    </comment>
    <comment ref="G13" authorId="0" shapeId="0" xr:uid="{685C6363-D937-4DFE-BF65-DA7A65AFD66F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98% samples negative recorded in Supp Data</t>
        </r>
      </text>
    </comment>
    <comment ref="H13" authorId="0" shapeId="0" xr:uid="{E8968B4A-74D1-48D9-8F7E-A2E1A5A2D2A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only +ve sample in NT data</t>
        </r>
      </text>
    </comment>
    <comment ref="C22" authorId="0" shapeId="0" xr:uid="{A64B8CAD-1286-4F21-9096-6EDDD4C357B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C32" authorId="0" shapeId="0" xr:uid="{62AF7564-4747-4F3C-A7CC-3A2BBAA5C6E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AC36" authorId="0" shapeId="0" xr:uid="{CC80065B-D319-4552-8F27-16DB1B6AF13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2 samples taken, one &lt; guideline</t>
        </r>
      </text>
    </comment>
    <comment ref="AC37" authorId="0" shapeId="0" xr:uid="{19C31735-67C5-4F59-B1D8-C3E798207D2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both samples &gt; GL</t>
        </r>
      </text>
    </comment>
    <comment ref="C38" authorId="0" shapeId="0" xr:uid="{05643AF7-AD4C-4AFB-94B6-7351EA0FECEF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T41" authorId="0" shapeId="0" xr:uid="{F78CA250-56C4-4E67-BFE9-48DB63E8D1ED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assumed from REMS….micro</t>
        </r>
      </text>
    </comment>
    <comment ref="G42" authorId="0" shapeId="0" xr:uid="{838250BD-82BF-4671-A41E-15F37B80ED39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from rems….-micro file in CtG 2024 file monthly sampling over 2 yr period</t>
        </r>
      </text>
    </comment>
    <comment ref="Y43" authorId="0" shapeId="0" xr:uid="{5D385CC3-3ED6-4847-BE17-DA5020303F9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these are no. samples &gt; GL. Monthly sampling stated in rems…uranium. Using col. to separate from numerical values above.</t>
        </r>
      </text>
    </comment>
    <comment ref="T45" authorId="0" shapeId="0" xr:uid="{4BC000D7-F8AC-4FD4-83E5-10ED5B4A1D3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would only be 24 in 2-yr period if sampling monthly</t>
        </r>
      </text>
    </comment>
    <comment ref="Y46" authorId="0" shapeId="0" xr:uid="{E28C40B7-EC4F-48C1-8B26-A6815C7C60F7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58" authorId="0" shapeId="0" xr:uid="{2683FDE8-EB4A-414F-93B4-2A7818F3B39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60" authorId="0" shapeId="0" xr:uid="{95DBA126-CE19-41F3-AC5E-78213900DE4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C68" authorId="0" shapeId="0" xr:uid="{EDB06B1E-25FA-4E6D-BEA3-CD6F91FC4ECA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Wrwoll Supp Data</t>
        </r>
      </text>
    </comment>
    <comment ref="A75" authorId="0" shapeId="0" xr:uid="{39AC3C05-B77D-4634-ABDE-723FF485DD1E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checked by calculation in Wyrwoll Supp Data file</t>
        </r>
      </text>
    </comment>
    <comment ref="H85" authorId="0" shapeId="0" xr:uid="{10EF686A-C44C-4AAC-94DE-5EF2B17E17B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6 people of 3507 pop. affected</t>
        </r>
      </text>
    </comment>
    <comment ref="H87" authorId="0" shapeId="0" xr:uid="{37274CF6-E078-4B4B-BAB4-ECA760AD776E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13 people of 10281 pop affected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</author>
    <author>tc={BEA52E73-9E73-41B4-843F-6E4A90EFC56E}</author>
  </authors>
  <commentList>
    <comment ref="AF3" authorId="0" shapeId="0" xr:uid="{F5427F1C-EFD6-4D0E-AC22-21E5B560112E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Qld has only exceedances, not actual values. No TCl, FCl, DCAA, TCAA, PFAS, bromate, Pb or F data for Indig. supplies</t>
        </r>
      </text>
    </comment>
    <comment ref="I4" authorId="0" shapeId="0" xr:uid="{543E5FCE-7EE4-4EA7-91E5-06D05F5DDE2E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positives/samples taken</t>
        </r>
      </text>
    </comment>
    <comment ref="U5" authorId="0" shapeId="0" xr:uid="{E3579630-F2DC-479B-80F4-6E3C4B1B9AD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for bottle fed infants as lower than 150 for general pop</t>
        </r>
      </text>
    </comment>
    <comment ref="AA5" authorId="0" shapeId="0" xr:uid="{F5F4CA09-7633-4F9E-B2CF-504388F2BD1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raised from 0.017 in recent ADWG change to be consistent with rounding advice</t>
        </r>
      </text>
    </comment>
    <comment ref="C10" authorId="0" shapeId="0" xr:uid="{D4087A00-0151-4B87-B8E6-FC760864494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also had one +ve E. coli but not entered as sample contaminated (P&amp;W)</t>
        </r>
      </text>
    </comment>
    <comment ref="G13" authorId="0" shapeId="0" xr:uid="{8C460D2B-033E-4B75-A4F9-DCD75E07CA9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98% samples negative recorded in Supp Data</t>
        </r>
      </text>
    </comment>
    <comment ref="H13" authorId="0" shapeId="0" xr:uid="{3E60DF89-927E-478A-BC4B-A9854E7ADA81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only +ve sample in NT data</t>
        </r>
      </text>
    </comment>
    <comment ref="C20" authorId="0" shapeId="0" xr:uid="{774AA9E0-2A3B-40AE-8D48-7025590498A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C30" authorId="0" shapeId="0" xr:uid="{0CBBBDE3-2401-4C72-8EAD-7A42717D098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AC34" authorId="0" shapeId="0" xr:uid="{6B0F84E5-3D83-4219-8555-7C1038466CA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2 samples taken, one &lt; guideline</t>
        </r>
      </text>
    </comment>
    <comment ref="AC35" authorId="0" shapeId="0" xr:uid="{1E25863A-6E35-40FF-B341-916A528D4DE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both samples &gt; GL</t>
        </r>
      </text>
    </comment>
    <comment ref="C36" authorId="0" shapeId="0" xr:uid="{652BFA70-37EF-487B-8D73-EEB57CEF2C8F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T39" authorId="0" shapeId="0" xr:uid="{97DEFD92-C4A6-46CE-8C0E-37E354CBCCEF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assumed from REMS….micro</t>
        </r>
      </text>
    </comment>
    <comment ref="G40" authorId="0" shapeId="0" xr:uid="{957F5FFF-8531-4E69-ADF5-445D77A98DA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from rems….-micro file in CtG 2024 file monthly sampling over 2 yr period</t>
        </r>
      </text>
    </comment>
    <comment ref="Y41" authorId="0" shapeId="0" xr:uid="{D55FCE89-30B0-4405-83A6-9AB938DBADF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these are no. samples &gt; GL. Monthly sampling stated in rems…uranium. Using col. to separate from numerical values above.</t>
        </r>
      </text>
    </comment>
    <comment ref="T43" authorId="0" shapeId="0" xr:uid="{58369DCA-2204-426F-BAD6-8D575BAD1F77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would only be 24 in 2-yr period if sampling monthly</t>
        </r>
      </text>
    </comment>
    <comment ref="Y44" authorId="0" shapeId="0" xr:uid="{2F0BFEF4-694B-4495-8695-0196A1884C7D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T52" authorId="1" shapeId="0" xr:uid="{BEA52E73-9E73-41B4-843F-6E4A90EFC56E}">
      <text>
        <t>[Threaded comment]
Your version of Excel allows you to read this threaded comment; however, any edits to it will get removed if the file is opened in a newer version of Excel. Learn more: https://go.microsoft.com/fwlink/?linkid=870924
Comment:
    Missing no. samples in previous spreadsheets</t>
      </text>
    </comment>
    <comment ref="Y56" authorId="0" shapeId="0" xr:uid="{C4BB2D86-741F-4313-9E7F-FE0E20085B4D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58" authorId="0" shapeId="0" xr:uid="{AB4F76DC-F46A-425E-89B0-105BABA2FA6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C66" authorId="0" shapeId="0" xr:uid="{1443405C-409E-4EA2-A152-0B3C6522847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Wrwoll Supp Data</t>
        </r>
      </text>
    </comment>
    <comment ref="A73" authorId="0" shapeId="0" xr:uid="{A08C717D-BF7F-4E7F-A578-D18240A69BB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checked by calculation in Wyrwoll Supp Data file</t>
        </r>
      </text>
    </comment>
    <comment ref="H83" authorId="0" shapeId="0" xr:uid="{34395F41-07FC-48FC-A297-C2615172D10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6 people of 3507 pop. affected</t>
        </r>
      </text>
    </comment>
    <comment ref="H85" authorId="0" shapeId="0" xr:uid="{7DA87904-D8B3-4C8B-B38C-D827D071EE41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13 people of 10281 pop affected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</author>
    <author>tc={89625125-632B-4060-8628-503A21306837}</author>
  </authors>
  <commentList>
    <comment ref="AF3" authorId="0" shapeId="0" xr:uid="{F315A2B6-61A8-4A09-A1C0-5A372DE09DEB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Qld has only exceedances, not actual values. No TCl, FCl, DCAA, TCAA, PFAS, bromate, Pb or F data for Indig. supplies</t>
        </r>
      </text>
    </comment>
    <comment ref="I4" authorId="0" shapeId="0" xr:uid="{DABA3A05-69FF-47A8-9BCA-52B17B1B79E7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positives/samples taken</t>
        </r>
      </text>
    </comment>
    <comment ref="L4" authorId="1" shapeId="0" xr:uid="{89625125-632B-4060-8628-503A21306837}">
      <text>
        <t>[Threaded comment]
Your version of Excel allows you to read this threaded comment; however, any edits to it will get removed if the file is opened in a newer version of Excel. Learn more: https://go.microsoft.com/fwlink/?linkid=870924
Comment:
    NB 4 jurisdiction totals only included to show correct  number of communities i.e. 14. These are removed in Nat Priorities</t>
      </text>
    </comment>
    <comment ref="U5" authorId="0" shapeId="0" xr:uid="{DFA54BAA-8E53-4EA9-BC6E-4AC9B564E63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for bottle fed infants as lower than 150 for general pop</t>
        </r>
      </text>
    </comment>
    <comment ref="AA5" authorId="0" shapeId="0" xr:uid="{F4B5B53B-1E4A-40AF-9633-E6487ABFA7D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raised from 0.017 in recent ADWG change to be consistent with rounding advice</t>
        </r>
      </text>
    </comment>
    <comment ref="C10" authorId="0" shapeId="0" xr:uid="{F514930F-C1D4-4B6F-AAD9-B184C8BE9E99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also had one +ve E. coli but not entered as sample contaminated (P&amp;W)</t>
        </r>
      </text>
    </comment>
    <comment ref="G13" authorId="0" shapeId="0" xr:uid="{F5C40F69-92E2-4476-8B09-069F155FC23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98% samples negative recorded in Supp Data</t>
        </r>
      </text>
    </comment>
    <comment ref="H13" authorId="0" shapeId="0" xr:uid="{9953A6A8-82E9-4256-A27E-D387FB1E069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only +ve sample in NT data</t>
        </r>
      </text>
    </comment>
    <comment ref="C20" authorId="0" shapeId="0" xr:uid="{E8A654C5-8F4D-4E53-AF28-D74C389BD9D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C30" authorId="0" shapeId="0" xr:uid="{B9A33BD6-C99C-4FAC-A445-AAAE941AAB73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AC34" authorId="0" shapeId="0" xr:uid="{15C6C988-7927-418F-BEA3-6C8C5399088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2 samples taken, one &lt; guideline</t>
        </r>
      </text>
    </comment>
    <comment ref="AC35" authorId="0" shapeId="0" xr:uid="{CC11E508-1106-47D3-A1EA-BDF6BC99BB4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both samples &gt; GL</t>
        </r>
      </text>
    </comment>
    <comment ref="C36" authorId="0" shapeId="0" xr:uid="{905F95E1-D61E-48E8-ACF0-1E4DADAB6EA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Wyrwoll Supp Data</t>
        </r>
      </text>
    </comment>
    <comment ref="T39" authorId="0" shapeId="0" xr:uid="{6F73A846-2DEA-4D1A-A7FE-5357558815A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assumed from REMS….micro</t>
        </r>
      </text>
    </comment>
    <comment ref="G40" authorId="0" shapeId="0" xr:uid="{9DF069A0-DED4-41AB-B763-47478D897FFB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from rems….-micro file in CtG 2024 file monthly sampling over 2 yr period</t>
        </r>
      </text>
    </comment>
    <comment ref="Y41" authorId="0" shapeId="0" xr:uid="{2FFBDD4F-628F-4954-BC77-7D305F2440E2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these are no. samples &gt; GL. Monthly sampling stated in rems…uranium. Using col. to separate from numerical values above.</t>
        </r>
      </text>
    </comment>
    <comment ref="T43" authorId="0" shapeId="0" xr:uid="{E8D25682-C0B8-4E22-892D-FB16AD2E6877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would only be 24 in 2-yr period if sampling monthly</t>
        </r>
      </text>
    </comment>
    <comment ref="Y44" authorId="0" shapeId="0" xr:uid="{35466505-B810-4920-9CB0-0FC28219234B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56" authorId="0" shapeId="0" xr:uid="{4C6D9441-2499-474B-AFCA-5350A4D18EB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58" authorId="0" shapeId="0" xr:uid="{7A2B62B6-836B-49C0-9E2E-FE84299557C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C66" authorId="0" shapeId="0" xr:uid="{FA2CFB0E-EC6E-421E-812A-70633BBFF0E7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calculated in Wrwoll Supp Data</t>
        </r>
      </text>
    </comment>
    <comment ref="A73" authorId="0" shapeId="0" xr:uid="{D835C35A-741B-40E5-BE03-253A19C69C2B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checked by calculation in Wyrwoll Supp Data file</t>
        </r>
      </text>
    </comment>
    <comment ref="H83" authorId="0" shapeId="0" xr:uid="{100CA7D3-3384-4271-9F19-D880A08F786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6 people of 3507 pop. affected</t>
        </r>
      </text>
    </comment>
    <comment ref="H85" authorId="0" shapeId="0" xr:uid="{BD1324E8-C3DD-415A-9292-C9F98370905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13 people of 10281 pop affected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</author>
    <author>tc={9234B67D-7757-47DB-A78F-A0E8D39596BB}</author>
  </authors>
  <commentList>
    <comment ref="AF3" authorId="0" shapeId="0" xr:uid="{3396CC1E-BE13-4F49-A080-B823A96370C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Qld has only exceedances, not actual values. No TCl, FCl, DCAA, TCAA, PFAS, bromate, Pb or F data for Indig. supplies</t>
        </r>
      </text>
    </comment>
    <comment ref="I4" authorId="0" shapeId="0" xr:uid="{DF777E9F-EA73-4FF8-974D-AF99E0ED239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positives/samples taken</t>
        </r>
      </text>
    </comment>
    <comment ref="L4" authorId="1" shapeId="0" xr:uid="{9234B67D-7757-47DB-A78F-A0E8D39596BB}">
      <text>
        <t>[Threaded comment]
Your version of Excel allows you to read this threaded comment; however, any edits to it will get removed if the file is opened in a newer version of Excel. Learn more: https://go.microsoft.com/fwlink/?linkid=870924
Comment:
    NB 4 jurisdiction totals only included to show correct  number of communities i.e. 14. These are removed in Nat Priorities</t>
      </text>
    </comment>
    <comment ref="U5" authorId="0" shapeId="0" xr:uid="{302B647A-BA8D-463D-99EA-F51C7FD6DC5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for bottle fed infants as lower than 150 for general pop</t>
        </r>
      </text>
    </comment>
    <comment ref="AA5" authorId="0" shapeId="0" xr:uid="{6351EEE9-289E-46FA-943F-124E3E18341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raised from 0.017 in recent ADWG change to be consistent with rounding advice</t>
        </r>
      </text>
    </comment>
    <comment ref="C10" authorId="0" shapeId="0" xr:uid="{FE6118A9-739B-475B-AECA-1B39D23C35F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also had one +ve E. coli but not entered as sample contaminated (P&amp;W)</t>
        </r>
      </text>
    </comment>
    <comment ref="AC18" authorId="0" shapeId="0" xr:uid="{DAA21D74-E1FD-4738-A488-F4FFCDC72D6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2 samples taken, one &lt; guideline</t>
        </r>
      </text>
    </comment>
    <comment ref="AC20" authorId="0" shapeId="0" xr:uid="{62C18168-2222-4E6D-A4EA-58362BAE6DC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both samples &gt; GL</t>
        </r>
      </text>
    </comment>
    <comment ref="Y27" authorId="0" shapeId="0" xr:uid="{896500E6-D188-431F-97DE-F07C9EF8A9AE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these are no. samples &gt; GL. Monthly sampling stated in rems…uranium. Using col. to separate from numerical values above.</t>
        </r>
      </text>
    </comment>
    <comment ref="T28" authorId="0" shapeId="0" xr:uid="{BC6E33C0-B391-4C6F-A7AB-45FEE637761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would only be 24 in 2-yr period if sampling monthly</t>
        </r>
      </text>
    </comment>
    <comment ref="T34" authorId="0" shapeId="0" xr:uid="{4D1773DE-5F93-4AA6-9CEA-B67038B6E9A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assumed from REMS….micro</t>
        </r>
      </text>
    </comment>
    <comment ref="Y37" authorId="0" shapeId="0" xr:uid="{E230F57E-EBA9-407A-9F93-ADDFDDB7E8A8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38" authorId="0" shapeId="0" xr:uid="{C01F9966-8AB3-4377-9838-9E752F41E565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Y39" authorId="0" shapeId="0" xr:uid="{D98F2D62-4551-4256-B141-1274CF9FF551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see comment for Burringah above.</t>
        </r>
      </text>
    </comment>
    <comment ref="G56" authorId="0" shapeId="0" xr:uid="{2AF51F47-3157-41AE-9BF3-C0DFD413BA50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98% samples negative recorded in Supp Data</t>
        </r>
      </text>
    </comment>
    <comment ref="H56" authorId="0" shapeId="0" xr:uid="{2C69D8AE-DAC8-4468-BC8B-D5ACBC0C82DC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only +ve sample in NT data</t>
        </r>
      </text>
    </comment>
    <comment ref="G58" authorId="0" shapeId="0" xr:uid="{ED5CC55C-F0B0-49EE-B07F-0C8DC2DE215F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from rems….-micro file in CtG 2024 file monthly sampling over 2 yr period</t>
        </r>
      </text>
    </comment>
    <comment ref="H78" authorId="0" shapeId="0" xr:uid="{E59B9034-B2FB-437B-B639-F614277073E4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6 people of 3507 pop. affected</t>
        </r>
      </text>
    </comment>
    <comment ref="H80" authorId="0" shapeId="0" xr:uid="{916A8317-27E7-41D6-BB76-90992EC49366}">
      <text>
        <r>
          <rPr>
            <b/>
            <sz val="9"/>
            <color indexed="81"/>
            <rFont val="Tahoma"/>
            <family val="2"/>
          </rPr>
          <t>ian:</t>
        </r>
        <r>
          <rPr>
            <sz val="9"/>
            <color indexed="81"/>
            <rFont val="Tahoma"/>
            <family val="2"/>
          </rPr>
          <t xml:space="preserve">
inferred from only 13 people of 10281 pop affected</t>
        </r>
      </text>
    </comment>
  </commentList>
</comments>
</file>

<file path=xl/sharedStrings.xml><?xml version="1.0" encoding="utf-8"?>
<sst xmlns="http://schemas.openxmlformats.org/spreadsheetml/2006/main" count="855" uniqueCount="163">
  <si>
    <t>Exceedances of ADWGs for "remote indigenous communities" from Wyrwoll data (2022)</t>
  </si>
  <si>
    <t>Parameter</t>
  </si>
  <si>
    <t>E. coli (no. samples +ve)</t>
  </si>
  <si>
    <t>Antimony (mg/L)</t>
  </si>
  <si>
    <t>HRI</t>
  </si>
  <si>
    <t>Barium (mg/L)</t>
  </si>
  <si>
    <t>Nitrate (mg/L)</t>
  </si>
  <si>
    <t>Manganese (mg/L)</t>
  </si>
  <si>
    <t>Uranium (freq)</t>
  </si>
  <si>
    <t>HRI (freq)</t>
  </si>
  <si>
    <t>Uranium (mg/L)</t>
  </si>
  <si>
    <t>Fluoride (mg/L)</t>
  </si>
  <si>
    <t>THMs (mg/L)</t>
  </si>
  <si>
    <t>Community HRI (num)</t>
  </si>
  <si>
    <t>Community HRI (freq)</t>
  </si>
  <si>
    <t>samples taken (n1)</t>
  </si>
  <si>
    <t>(f1)</t>
  </si>
  <si>
    <t>f1/n1</t>
  </si>
  <si>
    <t>pj'*f1/n1</t>
  </si>
  <si>
    <t>pop-wtd av. acute risk</t>
  </si>
  <si>
    <t>rank (acute)</t>
  </si>
  <si>
    <t xml:space="preserve">max(0, (xi/Gi-1)) </t>
  </si>
  <si>
    <t>samples taken (ni)</t>
  </si>
  <si>
    <t>samples&gt;GL (fi)</t>
  </si>
  <si>
    <t>pj"*fi/ni</t>
  </si>
  <si>
    <t>ADWG value</t>
  </si>
  <si>
    <t>Supplier</t>
  </si>
  <si>
    <t>Region</t>
  </si>
  <si>
    <t>Location</t>
  </si>
  <si>
    <t>Population</t>
  </si>
  <si>
    <t>Acute+chronic</t>
  </si>
  <si>
    <t>Acute</t>
  </si>
  <si>
    <t xml:space="preserve">Chronic </t>
  </si>
  <si>
    <t>(pj)</t>
  </si>
  <si>
    <t>indicator</t>
  </si>
  <si>
    <t>Northern Territory</t>
  </si>
  <si>
    <t>IES</t>
  </si>
  <si>
    <t>Northern</t>
  </si>
  <si>
    <t>Nauiyu</t>
  </si>
  <si>
    <t>Umbakumba</t>
  </si>
  <si>
    <t>Katherine</t>
  </si>
  <si>
    <t>Beswick</t>
  </si>
  <si>
    <t>Bulla</t>
  </si>
  <si>
    <t>Minyerri</t>
  </si>
  <si>
    <t>Barkly</t>
  </si>
  <si>
    <t>Willowra</t>
  </si>
  <si>
    <t>Wilora</t>
  </si>
  <si>
    <t>Alpurrurulam</t>
  </si>
  <si>
    <t>Southern</t>
  </si>
  <si>
    <t>Laramba</t>
  </si>
  <si>
    <t>Nyirripi</t>
  </si>
  <si>
    <t>Yuelamu</t>
  </si>
  <si>
    <t>Yuendumu</t>
  </si>
  <si>
    <t xml:space="preserve"> </t>
  </si>
  <si>
    <t>NT Totals</t>
  </si>
  <si>
    <t>indig. Pop.</t>
  </si>
  <si>
    <t>M1              =</t>
  </si>
  <si>
    <t>M2           =</t>
  </si>
  <si>
    <t>M4        =</t>
  </si>
  <si>
    <t>Queensland</t>
  </si>
  <si>
    <t>Cherbourg Aboriginal Shire Council</t>
  </si>
  <si>
    <t>Cherbourg</t>
  </si>
  <si>
    <t>Torres Strait Regional Council</t>
  </si>
  <si>
    <t>Erub</t>
  </si>
  <si>
    <t>Woorabinda Aboriginal Shire Council</t>
  </si>
  <si>
    <t>Woorabindah</t>
  </si>
  <si>
    <t>Northern Peninsular Regional Council</t>
  </si>
  <si>
    <t>Injinoo</t>
  </si>
  <si>
    <t>Umagico</t>
  </si>
  <si>
    <t>Seisia</t>
  </si>
  <si>
    <t>New Mapoon</t>
  </si>
  <si>
    <t>QLD Totals</t>
  </si>
  <si>
    <t>M5        =</t>
  </si>
  <si>
    <t>South Australia</t>
  </si>
  <si>
    <t>nil +ves in SA indigenous communities</t>
  </si>
  <si>
    <t>SA Water</t>
  </si>
  <si>
    <t>Kanpi</t>
  </si>
  <si>
    <t>Murpurtja</t>
  </si>
  <si>
    <t>Nyapari</t>
  </si>
  <si>
    <t>SA Totals</t>
  </si>
  <si>
    <t>Western Australia</t>
  </si>
  <si>
    <t>NB all data for REMS is for two-year period (july2018-june 2020)</t>
  </si>
  <si>
    <t>In REMS report, chem data stated to be six monthly but clearly isn't</t>
  </si>
  <si>
    <t>REMS</t>
  </si>
  <si>
    <t>Blackstone/Papulankutja</t>
  </si>
  <si>
    <t>Bobieding</t>
  </si>
  <si>
    <t>Burringurrah</t>
  </si>
  <si>
    <t>Cosmo Newberry</t>
  </si>
  <si>
    <t>Jameson</t>
  </si>
  <si>
    <t>Kiwirrkurrah</t>
  </si>
  <si>
    <t>Kadjina</t>
  </si>
  <si>
    <t>Kandiwal</t>
  </si>
  <si>
    <t>Kunawarritji</t>
  </si>
  <si>
    <t>Kupartiya</t>
  </si>
  <si>
    <t>Kutkabubba</t>
  </si>
  <si>
    <t>La Djarjarr Bay</t>
  </si>
  <si>
    <t>Mt Margaret</t>
  </si>
  <si>
    <t>Mulan</t>
  </si>
  <si>
    <t>Mulga Queen</t>
  </si>
  <si>
    <t>Ngurawana</t>
  </si>
  <si>
    <t>Pandanus Park</t>
  </si>
  <si>
    <t>Parnngurr</t>
  </si>
  <si>
    <t>Patjarr</t>
  </si>
  <si>
    <t>Pia Wadjari</t>
  </si>
  <si>
    <t>Tjirrkarli</t>
  </si>
  <si>
    <t>Tjukurla</t>
  </si>
  <si>
    <t>Tjuntjuntjara</t>
  </si>
  <si>
    <t>Wanam</t>
  </si>
  <si>
    <t>Warburton</t>
  </si>
  <si>
    <t>Wingellina</t>
  </si>
  <si>
    <t>Yulga Jinna</t>
  </si>
  <si>
    <t>WA Totals</t>
  </si>
  <si>
    <t>Indig. Pop.</t>
  </si>
  <si>
    <t>National Totals</t>
  </si>
  <si>
    <t>Grand total HRI (acute)</t>
  </si>
  <si>
    <t>Pop chron (num)</t>
  </si>
  <si>
    <t>Tot chronic</t>
  </si>
  <si>
    <t>Pop. Weighted av ann indiv chronic risk (num) M4n</t>
  </si>
  <si>
    <t>Grand totals - community HRIs</t>
  </si>
  <si>
    <t>Total no. communies</t>
  </si>
  <si>
    <t>Tot pop with any exceeds.</t>
  </si>
  <si>
    <t>Pop with both</t>
  </si>
  <si>
    <t>Pop with acute</t>
  </si>
  <si>
    <t>M3n Pop. Wgted indiv. av. ann. acute risk</t>
  </si>
  <si>
    <t>Pop chron (freq)</t>
  </si>
  <si>
    <t>Pop. Weighted av ann indiv chronic risk (freq) M5n</t>
  </si>
  <si>
    <t>No. communities with acute risk (pj)</t>
  </si>
  <si>
    <t>Check tot pop</t>
  </si>
  <si>
    <t>No. communities with chronic risk</t>
  </si>
  <si>
    <t>Tot pop - Remote Indigenous - NT,QLD, SA &amp; WA</t>
  </si>
  <si>
    <t>M1n              =</t>
  </si>
  <si>
    <t>M2n</t>
  </si>
  <si>
    <t>New South Wales</t>
  </si>
  <si>
    <t>Cabonne Council</t>
  </si>
  <si>
    <t>no data</t>
  </si>
  <si>
    <t>Coonamble Council</t>
  </si>
  <si>
    <t>?</t>
  </si>
  <si>
    <t>Glen Innes Severn Council</t>
  </si>
  <si>
    <t>Snowy Valley Council</t>
  </si>
  <si>
    <t>Tasmania</t>
  </si>
  <si>
    <t>no indigenous category</t>
  </si>
  <si>
    <t>Victoria</t>
  </si>
  <si>
    <t>no indigenous category and no ABS "remote" or "very remote" communities</t>
  </si>
  <si>
    <t>DATA ANALYSES</t>
  </si>
  <si>
    <t>Acute risk</t>
  </si>
  <si>
    <t>Community j acute HRI - pj*f1/n1 for E. coli</t>
  </si>
  <si>
    <t>Grand total HRI - sumj(community acute HRIs)</t>
  </si>
  <si>
    <t>Population-weighted annual average individual acute risk - sumj(acute HRIs)/sum(pj)</t>
  </si>
  <si>
    <t>Chronic risk</t>
  </si>
  <si>
    <t>Community - Numerical</t>
  </si>
  <si>
    <t>pj*max(0, (max (xi)/Gi -1))</t>
  </si>
  <si>
    <t xml:space="preserve">Community - Freq &gt; Gi </t>
  </si>
  <si>
    <t>pj*fi/ni for i&gt;1</t>
  </si>
  <si>
    <t>Grand total HRI - sumj(community num or freq)</t>
  </si>
  <si>
    <t>Population-weighted annual average individual chronic risk - sumj(chronic HRIs)/sum(pj)</t>
  </si>
  <si>
    <t>no indigenous category AND only statistics of proportion of population for which chemical or micro comliance was attained</t>
  </si>
  <si>
    <t>rank   (numeric)</t>
  </si>
  <si>
    <t>rank (freq)</t>
  </si>
  <si>
    <t>Prioritization using HRIs calculated from Exceedances of ADWGs for "remote indigenous communities" from Wyrwoll data (2022)</t>
  </si>
  <si>
    <t>B. Priority ranking for chronic health risks - max. numeric values used</t>
  </si>
  <si>
    <t>C. Priority ranking for chronic health risks - freq. of exceeding GL used</t>
  </si>
  <si>
    <t>A. Priority ranking for acute health risk - freq. of positive samples used</t>
  </si>
  <si>
    <t>3 digits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</si>
</sst>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164" fontId="2" fillId="0" borderId="0" xfId="0" applyNumberFormat="1" applyFont="1"/>
    <xf numFmtId="2" fontId="2" fillId="0" borderId="0" xfId="0" applyNumberFormat="1" applyFont="1"/>
    <xf numFmtId="0" fontId="3" fillId="2" borderId="0" xfId="1" applyFont="1"/>
    <xf numFmtId="0" fontId="1" fillId="2" borderId="0" xfId="1"/>
    <xf numFmtId="2" fontId="1" fillId="2" borderId="0" xfId="1" applyNumberFormat="1"/>
    <xf numFmtId="2" fontId="3" fillId="2" borderId="0" xfId="1" applyNumberFormat="1" applyFont="1"/>
    <xf numFmtId="0" fontId="2" fillId="0" borderId="0" xfId="0" applyFont="1" applyAlignment="1">
      <alignment wrapText="1"/>
    </xf>
    <xf numFmtId="0" fontId="3" fillId="2" borderId="0" xfId="1" applyFont="1" applyAlignment="1">
      <alignment wrapText="1"/>
    </xf>
    <xf numFmtId="164" fontId="3" fillId="2" borderId="0" xfId="1" applyNumberFormat="1" applyFont="1"/>
    <xf numFmtId="164" fontId="1" fillId="2" borderId="0" xfId="1" applyNumberFormat="1"/>
    <xf numFmtId="1" fontId="2" fillId="0" borderId="0" xfId="0" applyNumberFormat="1" applyFont="1"/>
    <xf numFmtId="1" fontId="6" fillId="0" borderId="0" xfId="0" applyNumberFormat="1" applyFont="1" applyAlignment="1">
      <alignment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310155</xdr:colOff>
      <xdr:row>22</xdr:row>
      <xdr:rowOff>149505</xdr:rowOff>
    </xdr:from>
    <xdr:to>
      <xdr:col>25</xdr:col>
      <xdr:colOff>310515</xdr:colOff>
      <xdr:row>22</xdr:row>
      <xdr:rowOff>149865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EFA1498-07EE-45CC-8999-7E6F8FB560AA}"/>
                </a:ext>
              </a:extLst>
            </xdr14:cNvPr>
            <xdr14:cNvContentPartPr/>
          </xdr14:nvContentPartPr>
          <xdr14:nvPr macro=""/>
          <xdr14:xfrm>
            <a:off x="19510968" y="46738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0C20212-00DE-59B0-D0F4-97992809E2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502328" y="4664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310155</xdr:colOff>
      <xdr:row>20</xdr:row>
      <xdr:rowOff>149505</xdr:rowOff>
    </xdr:from>
    <xdr:to>
      <xdr:col>25</xdr:col>
      <xdr:colOff>310515</xdr:colOff>
      <xdr:row>20</xdr:row>
      <xdr:rowOff>149865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1B82D2EF-B8AD-4EDE-B97C-4F1A721D2567}"/>
                </a:ext>
              </a:extLst>
            </xdr14:cNvPr>
            <xdr14:cNvContentPartPr/>
          </xdr14:nvContentPartPr>
          <xdr14:nvPr macro=""/>
          <xdr14:xfrm>
            <a:off x="19510968" y="46738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0C20212-00DE-59B0-D0F4-97992809E2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502328" y="4664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310155</xdr:colOff>
      <xdr:row>20</xdr:row>
      <xdr:rowOff>149505</xdr:rowOff>
    </xdr:from>
    <xdr:to>
      <xdr:col>25</xdr:col>
      <xdr:colOff>310515</xdr:colOff>
      <xdr:row>20</xdr:row>
      <xdr:rowOff>149865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8EE289D2-CC12-44FE-B361-834AF6FEFBF1}"/>
                </a:ext>
              </a:extLst>
            </xdr14:cNvPr>
            <xdr14:cNvContentPartPr/>
          </xdr14:nvContentPartPr>
          <xdr14:nvPr macro=""/>
          <xdr14:xfrm>
            <a:off x="19510968" y="46738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0C20212-00DE-59B0-D0F4-97992809E2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502328" y="4664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310155</xdr:colOff>
      <xdr:row>49</xdr:row>
      <xdr:rowOff>0</xdr:rowOff>
    </xdr:from>
    <xdr:to>
      <xdr:col>25</xdr:col>
      <xdr:colOff>310515</xdr:colOff>
      <xdr:row>49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712F6887-FBD2-4070-A4E4-79FB744CEEC1}"/>
                </a:ext>
              </a:extLst>
            </xdr14:cNvPr>
            <xdr14:cNvContentPartPr/>
          </xdr14:nvContentPartPr>
          <xdr14:nvPr macro=""/>
          <xdr14:xfrm>
            <a:off x="19510968" y="46738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0C20212-00DE-59B0-D0F4-97992809E2A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9502328" y="4664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30T22:22:00.8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1 0 22943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1T05:36:44.38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1 0 22943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6T22:10:59.4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1 0 22943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7T03:56:19.6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1 0 22943</inkml:trace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Ian Fisher" id="{5F44500C-0859-4DE6-8CEE-040467639475}" userId="S::30045292@westernsydney.edu.au::63e86fe2-3484-42b0-b255-4689fd0a83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52" dT="2025-02-27T03:37:15.27" personId="{5F44500C-0859-4DE6-8CEE-040467639475}" id="{BEA52E73-9E73-41B4-843F-6E4A90EFC56E}">
    <text>Missing no. samples in previous spreadsheets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4" dT="2025-02-27T02:24:30.19" personId="{5F44500C-0859-4DE6-8CEE-040467639475}" id="{89625125-632B-4060-8628-503A21306837}">
    <text>NB 4 jurisdiction totals only included to show correct  number of communities i.e. 14. These are removed in Nat Priorities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4" dT="2025-02-27T02:24:30.19" personId="{5F44500C-0859-4DE6-8CEE-040467639475}" id="{9234B67D-7757-47DB-A78F-A0E8D39596BB}">
    <text>NB 4 jurisdiction totals only included to show correct  number of communities i.e. 14. These are removed in Nat Priorities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BF79-43B2-4EE5-88AB-ABB6722C7732}">
  <dimension ref="A1:AK106"/>
  <sheetViews>
    <sheetView topLeftCell="R8" zoomScale="120" zoomScaleNormal="120" workbookViewId="0">
      <selection activeCell="AK8" sqref="AK8"/>
    </sheetView>
  </sheetViews>
  <sheetFormatPr defaultRowHeight="14.5"/>
  <cols>
    <col min="1" max="1" width="20.54296875" customWidth="1"/>
    <col min="2" max="2" width="13.7265625" customWidth="1"/>
    <col min="3" max="3" width="12.26953125" customWidth="1"/>
    <col min="4" max="5" width="11.26953125" customWidth="1"/>
    <col min="7" max="7" width="11.453125" customWidth="1"/>
    <col min="8" max="8" width="16.1796875" customWidth="1"/>
    <col min="9" max="9" width="9.1796875" style="2"/>
    <col min="10" max="10" width="9.1796875" style="3"/>
    <col min="11" max="11" width="9.1796875" style="2"/>
    <col min="12" max="13" width="12.1796875" customWidth="1"/>
    <col min="16" max="16" width="12.26953125" customWidth="1"/>
    <col min="17" max="17" width="11.453125" style="3" customWidth="1"/>
    <col min="20" max="20" width="12.453125" customWidth="1"/>
    <col min="21" max="21" width="11.453125" customWidth="1"/>
    <col min="22" max="22" width="11.453125" style="3" customWidth="1"/>
    <col min="23" max="23" width="12.26953125" customWidth="1"/>
    <col min="24" max="24" width="12.26953125" style="3" customWidth="1"/>
    <col min="25" max="26" width="12.26953125" customWidth="1"/>
    <col min="27" max="27" width="11.26953125" customWidth="1"/>
    <col min="29" max="30" width="9.1796875" customWidth="1"/>
    <col min="31" max="31" width="10.453125" customWidth="1"/>
    <col min="32" max="32" width="10.81640625" customWidth="1"/>
    <col min="35" max="35" width="14.453125" customWidth="1"/>
    <col min="36" max="36" width="13.7265625" customWidth="1"/>
  </cols>
  <sheetData>
    <row r="1" spans="1:36">
      <c r="A1" s="1" t="s">
        <v>0</v>
      </c>
    </row>
    <row r="3" spans="1:36" s="4" customFormat="1" ht="27.75" customHeight="1">
      <c r="A3" s="4" t="s">
        <v>1</v>
      </c>
      <c r="H3" s="4" t="s">
        <v>2</v>
      </c>
      <c r="I3" s="5"/>
      <c r="J3" s="6"/>
      <c r="K3" s="5"/>
      <c r="P3" s="4" t="s">
        <v>3</v>
      </c>
      <c r="Q3" s="6" t="s">
        <v>4</v>
      </c>
      <c r="R3" s="4" t="s">
        <v>5</v>
      </c>
      <c r="S3" s="4" t="s">
        <v>4</v>
      </c>
      <c r="U3" s="4" t="s">
        <v>6</v>
      </c>
      <c r="V3" s="6" t="s">
        <v>4</v>
      </c>
      <c r="W3" s="4" t="s">
        <v>7</v>
      </c>
      <c r="X3" s="6" t="s">
        <v>4</v>
      </c>
      <c r="Y3" s="4" t="s">
        <v>8</v>
      </c>
      <c r="Z3" s="4" t="s">
        <v>9</v>
      </c>
      <c r="AA3" s="4" t="s">
        <v>10</v>
      </c>
      <c r="AB3" s="4" t="s">
        <v>4</v>
      </c>
      <c r="AC3" s="4" t="s">
        <v>11</v>
      </c>
      <c r="AD3" s="4" t="s">
        <v>4</v>
      </c>
      <c r="AF3" s="4" t="s">
        <v>12</v>
      </c>
      <c r="AG3" s="4" t="s">
        <v>4</v>
      </c>
      <c r="AI3" s="4" t="s">
        <v>13</v>
      </c>
      <c r="AJ3" s="4" t="s">
        <v>14</v>
      </c>
    </row>
    <row r="4" spans="1:36" s="7" customFormat="1" ht="28.5" customHeight="1">
      <c r="G4" s="7" t="s">
        <v>15</v>
      </c>
      <c r="H4" s="7" t="s">
        <v>16</v>
      </c>
      <c r="I4" s="8" t="s">
        <v>17</v>
      </c>
      <c r="J4" s="9" t="s">
        <v>18</v>
      </c>
      <c r="K4" s="8" t="s">
        <v>19</v>
      </c>
      <c r="L4" s="7" t="s">
        <v>20</v>
      </c>
      <c r="Q4" s="9" t="s">
        <v>21</v>
      </c>
      <c r="S4" s="9" t="s">
        <v>21</v>
      </c>
      <c r="T4" s="7" t="s">
        <v>22</v>
      </c>
      <c r="U4" s="7" t="s">
        <v>23</v>
      </c>
      <c r="V4" s="7" t="s">
        <v>24</v>
      </c>
      <c r="X4" s="9" t="s">
        <v>21</v>
      </c>
      <c r="Y4" s="7" t="s">
        <v>23</v>
      </c>
      <c r="Z4" s="7" t="s">
        <v>24</v>
      </c>
      <c r="AB4" s="9" t="s">
        <v>21</v>
      </c>
      <c r="AD4" s="9" t="s">
        <v>21</v>
      </c>
      <c r="AE4" s="7" t="s">
        <v>15</v>
      </c>
      <c r="AF4" s="7" t="s">
        <v>23</v>
      </c>
      <c r="AG4" s="7" t="s">
        <v>24</v>
      </c>
    </row>
    <row r="5" spans="1:36">
      <c r="A5" s="1" t="s">
        <v>25</v>
      </c>
      <c r="H5">
        <v>0</v>
      </c>
      <c r="P5">
        <v>3.0000000000000001E-3</v>
      </c>
      <c r="R5">
        <v>2</v>
      </c>
      <c r="U5">
        <v>50</v>
      </c>
      <c r="W5">
        <v>0.5</v>
      </c>
      <c r="AA5">
        <v>0.02</v>
      </c>
      <c r="AC5">
        <v>1.5</v>
      </c>
      <c r="AF5">
        <v>0.25</v>
      </c>
    </row>
    <row r="7" spans="1:36" s="1" customForma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I7" s="10"/>
      <c r="J7" s="11"/>
      <c r="K7" s="10"/>
      <c r="L7"/>
      <c r="M7"/>
      <c r="O7" s="1" t="s">
        <v>32</v>
      </c>
      <c r="Q7" s="11"/>
      <c r="V7" s="11"/>
      <c r="X7" s="11"/>
    </row>
    <row r="8" spans="1:36">
      <c r="D8" t="s">
        <v>33</v>
      </c>
      <c r="E8" s="1" t="s">
        <v>34</v>
      </c>
      <c r="F8" s="1" t="s">
        <v>34</v>
      </c>
      <c r="O8" s="1" t="s">
        <v>34</v>
      </c>
    </row>
    <row r="9" spans="1:36">
      <c r="A9" s="1" t="s">
        <v>35</v>
      </c>
      <c r="AI9" s="3"/>
    </row>
    <row r="10" spans="1:36">
      <c r="A10" t="s">
        <v>36</v>
      </c>
      <c r="B10" t="s">
        <v>37</v>
      </c>
      <c r="C10" t="s">
        <v>38</v>
      </c>
      <c r="D10">
        <v>378</v>
      </c>
      <c r="E10" t="str">
        <f t="shared" ref="E10:E22" si="0">IF(AND(F10=1,O10&lt;=5),1,"")</f>
        <v/>
      </c>
      <c r="F10" t="str">
        <f t="shared" ref="F10:F67" si="1">IF(I10&gt;0,1,"")</f>
        <v/>
      </c>
      <c r="O10">
        <f>IF(SUM(P10:AF10)&gt;0,1,"")</f>
        <v>1</v>
      </c>
      <c r="W10">
        <v>2.6</v>
      </c>
      <c r="X10" s="3">
        <f>$D10*MAX(0, (W10/W$5-1))</f>
        <v>1587.6000000000001</v>
      </c>
      <c r="AI10" s="3">
        <f>IF(O10&gt;0,SUM(Q10+S10+V10+X10+AB10+AD10+AG10))</f>
        <v>1587.6000000000001</v>
      </c>
    </row>
    <row r="11" spans="1:36">
      <c r="A11" t="s">
        <v>36</v>
      </c>
      <c r="B11" t="s">
        <v>37</v>
      </c>
      <c r="C11" t="s">
        <v>39</v>
      </c>
      <c r="D11">
        <v>503</v>
      </c>
      <c r="E11" t="str">
        <f t="shared" si="0"/>
        <v/>
      </c>
      <c r="F11" t="str">
        <f t="shared" si="1"/>
        <v/>
      </c>
      <c r="O11">
        <f>IF(SUM(P11:AF11)&gt;0,1,"")</f>
        <v>1</v>
      </c>
      <c r="W11">
        <v>1.9</v>
      </c>
      <c r="X11" s="3">
        <f>$D11*MAX(0, (W11/W$5-1))</f>
        <v>1408.3999999999999</v>
      </c>
      <c r="AI11" s="3">
        <f t="shared" ref="AI11:AI21" si="2">IF(O11&gt;0,SUM(Q11+S11+V11+X11+AB11+AD11+AG11))</f>
        <v>1408.3999999999999</v>
      </c>
    </row>
    <row r="12" spans="1:36">
      <c r="A12" t="s">
        <v>36</v>
      </c>
      <c r="B12" t="s">
        <v>40</v>
      </c>
      <c r="C12" t="s">
        <v>41</v>
      </c>
      <c r="D12">
        <v>531</v>
      </c>
      <c r="E12" t="str">
        <f t="shared" si="0"/>
        <v/>
      </c>
      <c r="F12" t="str">
        <f t="shared" si="1"/>
        <v/>
      </c>
      <c r="O12">
        <f t="shared" ref="O12:O67" si="3">IF(SUM(P12:AF12)&gt;0,1,"")</f>
        <v>1</v>
      </c>
      <c r="P12">
        <v>8.0000000000000002E-3</v>
      </c>
      <c r="Q12" s="3">
        <f>$D12*MAX(0, (P12/P$5-1))</f>
        <v>884.99999999999989</v>
      </c>
      <c r="AI12" s="3">
        <f t="shared" si="2"/>
        <v>884.99999999999989</v>
      </c>
    </row>
    <row r="13" spans="1:36">
      <c r="A13" t="s">
        <v>36</v>
      </c>
      <c r="B13" t="s">
        <v>40</v>
      </c>
      <c r="C13" t="s">
        <v>42</v>
      </c>
      <c r="D13">
        <v>74</v>
      </c>
      <c r="E13">
        <f t="shared" si="0"/>
        <v>1</v>
      </c>
      <c r="F13">
        <f t="shared" si="1"/>
        <v>1</v>
      </c>
      <c r="G13">
        <v>50</v>
      </c>
      <c r="H13">
        <v>1</v>
      </c>
      <c r="I13" s="2">
        <f>H13/G13</f>
        <v>0.02</v>
      </c>
      <c r="J13" s="3">
        <f>D13*I13</f>
        <v>1.48</v>
      </c>
      <c r="L13">
        <f>_xlfn.RANK.EQ(J13,J$13:J$68)</f>
        <v>12</v>
      </c>
      <c r="O13">
        <f t="shared" si="3"/>
        <v>1</v>
      </c>
      <c r="R13">
        <v>10</v>
      </c>
      <c r="S13" s="3">
        <f>$D13*MAX(0, (R13/R$5-1))</f>
        <v>296</v>
      </c>
      <c r="AI13" s="3">
        <f t="shared" si="2"/>
        <v>296</v>
      </c>
    </row>
    <row r="14" spans="1:36">
      <c r="A14" t="s">
        <v>36</v>
      </c>
      <c r="B14" t="s">
        <v>40</v>
      </c>
      <c r="C14" t="s">
        <v>43</v>
      </c>
      <c r="D14">
        <v>618</v>
      </c>
      <c r="E14" t="str">
        <f t="shared" si="0"/>
        <v/>
      </c>
      <c r="F14" t="str">
        <f t="shared" si="1"/>
        <v/>
      </c>
      <c r="O14">
        <f t="shared" si="3"/>
        <v>1</v>
      </c>
      <c r="W14">
        <v>0.6</v>
      </c>
      <c r="X14" s="3">
        <f>$D14*MAX(0, (W14/W$5-1))</f>
        <v>123.59999999999997</v>
      </c>
      <c r="AI14" s="3">
        <f t="shared" si="2"/>
        <v>123.59999999999997</v>
      </c>
    </row>
    <row r="15" spans="1:36">
      <c r="A15" t="s">
        <v>36</v>
      </c>
      <c r="B15" t="s">
        <v>44</v>
      </c>
      <c r="C15" t="s">
        <v>45</v>
      </c>
      <c r="D15">
        <v>301</v>
      </c>
      <c r="E15" t="str">
        <f t="shared" si="0"/>
        <v/>
      </c>
      <c r="F15" t="str">
        <f t="shared" si="1"/>
        <v/>
      </c>
      <c r="O15">
        <f t="shared" si="3"/>
        <v>1</v>
      </c>
      <c r="AA15">
        <v>2.5000000000000001E-2</v>
      </c>
      <c r="AB15" s="3">
        <f>$D15*MAX(0, (AA15/AA$5-1))</f>
        <v>75.25</v>
      </c>
      <c r="AI15" s="3">
        <f t="shared" si="2"/>
        <v>75.25</v>
      </c>
    </row>
    <row r="16" spans="1:36">
      <c r="A16" t="s">
        <v>36</v>
      </c>
      <c r="B16" t="s">
        <v>44</v>
      </c>
      <c r="C16" t="s">
        <v>46</v>
      </c>
      <c r="D16">
        <v>95</v>
      </c>
      <c r="E16" t="str">
        <f t="shared" si="0"/>
        <v/>
      </c>
      <c r="F16" t="str">
        <f t="shared" si="1"/>
        <v/>
      </c>
      <c r="O16">
        <f t="shared" si="3"/>
        <v>1</v>
      </c>
      <c r="AA16">
        <v>2.1999999999999999E-2</v>
      </c>
      <c r="AB16" s="3">
        <f>$D16*MAX(0, (AA16/AA$5-1))</f>
        <v>9.4999999999999876</v>
      </c>
      <c r="AI16" s="3">
        <f t="shared" si="2"/>
        <v>9.4999999999999876</v>
      </c>
    </row>
    <row r="17" spans="1:37">
      <c r="A17" t="s">
        <v>36</v>
      </c>
      <c r="B17" t="s">
        <v>44</v>
      </c>
      <c r="C17" t="s">
        <v>47</v>
      </c>
      <c r="D17">
        <v>420</v>
      </c>
      <c r="E17" t="str">
        <f t="shared" si="0"/>
        <v/>
      </c>
      <c r="F17" t="str">
        <f t="shared" si="1"/>
        <v/>
      </c>
      <c r="O17">
        <f t="shared" si="3"/>
        <v>1</v>
      </c>
      <c r="AC17">
        <v>1.7</v>
      </c>
      <c r="AD17" s="3">
        <f>$D17*MAX(0, (AC17/AC$5-1))</f>
        <v>55.999999999999986</v>
      </c>
      <c r="AI17" s="3">
        <f t="shared" si="2"/>
        <v>55.999999999999986</v>
      </c>
    </row>
    <row r="18" spans="1:37">
      <c r="A18" t="s">
        <v>36</v>
      </c>
      <c r="B18" t="s">
        <v>48</v>
      </c>
      <c r="C18" t="s">
        <v>49</v>
      </c>
      <c r="D18">
        <v>239</v>
      </c>
      <c r="E18" t="str">
        <f t="shared" si="0"/>
        <v/>
      </c>
      <c r="F18" t="str">
        <f t="shared" si="1"/>
        <v/>
      </c>
      <c r="O18">
        <f t="shared" si="3"/>
        <v>1</v>
      </c>
      <c r="AA18">
        <v>4.8000000000000001E-2</v>
      </c>
      <c r="AB18" s="3">
        <f>$D18*MAX(0, (AA18/AA$5-1))</f>
        <v>334.59999999999997</v>
      </c>
      <c r="AI18" s="3">
        <f t="shared" si="2"/>
        <v>334.59999999999997</v>
      </c>
    </row>
    <row r="19" spans="1:37">
      <c r="A19" t="s">
        <v>36</v>
      </c>
      <c r="B19" t="s">
        <v>48</v>
      </c>
      <c r="C19" t="s">
        <v>50</v>
      </c>
      <c r="D19">
        <v>236</v>
      </c>
      <c r="E19" t="str">
        <f t="shared" si="0"/>
        <v/>
      </c>
      <c r="F19" t="str">
        <f t="shared" si="1"/>
        <v/>
      </c>
      <c r="O19">
        <f t="shared" si="3"/>
        <v>1</v>
      </c>
      <c r="AC19">
        <v>1.9</v>
      </c>
      <c r="AD19" s="3">
        <f>$D19*MAX(0, (AC19/AC$5-1))</f>
        <v>62.933333333333323</v>
      </c>
      <c r="AI19" s="3">
        <f t="shared" si="2"/>
        <v>62.933333333333323</v>
      </c>
    </row>
    <row r="20" spans="1:37">
      <c r="A20" t="s">
        <v>36</v>
      </c>
      <c r="B20" t="s">
        <v>48</v>
      </c>
      <c r="C20" t="s">
        <v>51</v>
      </c>
      <c r="D20">
        <v>220</v>
      </c>
      <c r="E20" t="str">
        <f t="shared" si="0"/>
        <v/>
      </c>
      <c r="F20" t="str">
        <f t="shared" si="1"/>
        <v/>
      </c>
      <c r="O20">
        <f t="shared" si="3"/>
        <v>1</v>
      </c>
      <c r="AC20">
        <v>1.9</v>
      </c>
      <c r="AD20" s="3">
        <f>$D20*MAX(0, (AC20/AC$5-1))</f>
        <v>58.666666666666657</v>
      </c>
      <c r="AI20" s="3">
        <f t="shared" si="2"/>
        <v>58.666666666666657</v>
      </c>
    </row>
    <row r="21" spans="1:37">
      <c r="A21" t="s">
        <v>36</v>
      </c>
      <c r="B21" t="s">
        <v>48</v>
      </c>
      <c r="C21" t="s">
        <v>52</v>
      </c>
      <c r="D21">
        <v>759</v>
      </c>
      <c r="E21" t="str">
        <f t="shared" si="0"/>
        <v/>
      </c>
      <c r="F21" t="s">
        <v>53</v>
      </c>
      <c r="O21">
        <f t="shared" si="3"/>
        <v>1</v>
      </c>
      <c r="AA21">
        <v>0.02</v>
      </c>
      <c r="AB21" s="3">
        <f>$D21*MAX(0, (AA21/AA$5-1))</f>
        <v>0</v>
      </c>
      <c r="AI21" s="3">
        <f t="shared" si="2"/>
        <v>0</v>
      </c>
    </row>
    <row r="22" spans="1:37" s="1" customFormat="1">
      <c r="A22" s="1" t="s">
        <v>54</v>
      </c>
      <c r="B22" s="1" t="s">
        <v>55</v>
      </c>
      <c r="C22" s="1">
        <v>32017</v>
      </c>
      <c r="D22" s="1">
        <f>SUM(D10:D21)</f>
        <v>4374</v>
      </c>
      <c r="E22" s="1" t="str">
        <f t="shared" si="0"/>
        <v/>
      </c>
      <c r="F22" s="1">
        <f>SUMIF(F10:F21,"&gt;0", D10:D21)</f>
        <v>74</v>
      </c>
      <c r="I22" s="10"/>
      <c r="J22" s="11">
        <f>SUM(J10:J21)</f>
        <v>1.48</v>
      </c>
      <c r="K22" s="10">
        <f>J22/F22</f>
        <v>0.02</v>
      </c>
      <c r="O22" s="1" t="str">
        <f t="shared" si="3"/>
        <v/>
      </c>
      <c r="Q22" s="11"/>
      <c r="V22" s="11"/>
      <c r="X22" s="11"/>
      <c r="AI22" s="11">
        <f>SUM(AI10:AI21)</f>
        <v>4897.5500000000011</v>
      </c>
      <c r="AJ22" s="1">
        <f>SUM(AJ10:AJ21)</f>
        <v>0</v>
      </c>
      <c r="AK22"/>
    </row>
    <row r="23" spans="1:37" s="1" customFormat="1">
      <c r="B23" s="1" t="s">
        <v>56</v>
      </c>
      <c r="C23" s="10">
        <f>D22/C22</f>
        <v>0.13661492332198519</v>
      </c>
      <c r="E23" s="1" t="s">
        <v>57</v>
      </c>
      <c r="F23" s="10">
        <f>F22/C22</f>
        <v>2.31127213667739E-3</v>
      </c>
      <c r="I23" s="10"/>
      <c r="J23" s="11"/>
      <c r="K23" s="10"/>
      <c r="Q23" s="11"/>
      <c r="V23" s="11"/>
      <c r="X23" s="11"/>
      <c r="AH23" s="1" t="s">
        <v>58</v>
      </c>
      <c r="AI23" s="11">
        <f>AI22/SUMIF(AI10:AI21,"&gt;0",D10:D21)</f>
        <v>1.3547856154910101</v>
      </c>
    </row>
    <row r="24" spans="1:37">
      <c r="A24" s="1" t="s">
        <v>59</v>
      </c>
      <c r="E24" t="str">
        <f t="shared" ref="E24:E32" si="4">IF(AND(F24=1,O24&lt;=5),1,"")</f>
        <v/>
      </c>
      <c r="F24" t="str">
        <f t="shared" si="1"/>
        <v/>
      </c>
      <c r="O24" t="str">
        <f t="shared" si="3"/>
        <v/>
      </c>
    </row>
    <row r="25" spans="1:37">
      <c r="A25" t="s">
        <v>60</v>
      </c>
      <c r="C25" t="s">
        <v>61</v>
      </c>
      <c r="D25">
        <v>1269</v>
      </c>
      <c r="E25">
        <f t="shared" si="4"/>
        <v>1</v>
      </c>
      <c r="F25">
        <f>IF(I25&gt;0,1,"")</f>
        <v>1</v>
      </c>
      <c r="G25">
        <v>199</v>
      </c>
      <c r="H25">
        <v>1</v>
      </c>
      <c r="I25" s="2">
        <f>H25/G25</f>
        <v>5.0251256281407036E-3</v>
      </c>
      <c r="J25" s="3">
        <f>D25*I25</f>
        <v>6.3768844221105532</v>
      </c>
      <c r="L25">
        <f>_xlfn.RANK.EQ(J25,J$13:J$68)</f>
        <v>6</v>
      </c>
      <c r="O25">
        <v>1</v>
      </c>
      <c r="AE25">
        <v>32</v>
      </c>
      <c r="AF25">
        <v>28</v>
      </c>
      <c r="AG25" s="3">
        <f>$D25*AF25/AE25</f>
        <v>1110.375</v>
      </c>
      <c r="AJ25" s="3">
        <f>IF(O25&gt;0,SUM(Q25+S25+V25+X25+AB25+AD25+AG25))</f>
        <v>1110.375</v>
      </c>
    </row>
    <row r="26" spans="1:37">
      <c r="A26" t="s">
        <v>62</v>
      </c>
      <c r="C26" t="s">
        <v>63</v>
      </c>
      <c r="D26">
        <v>328</v>
      </c>
      <c r="E26" t="str">
        <f t="shared" si="4"/>
        <v/>
      </c>
      <c r="F26">
        <f t="shared" si="1"/>
        <v>1</v>
      </c>
      <c r="G26">
        <v>33</v>
      </c>
      <c r="H26">
        <v>5</v>
      </c>
      <c r="I26" s="2">
        <f t="shared" ref="I26:I27" si="5">H26/G26</f>
        <v>0.15151515151515152</v>
      </c>
      <c r="J26" s="3">
        <f>D26*I26</f>
        <v>49.696969696969695</v>
      </c>
      <c r="L26">
        <f>_xlfn.RANK.EQ(J26,J$13:J$68)</f>
        <v>3</v>
      </c>
      <c r="O26" t="str">
        <f t="shared" si="3"/>
        <v/>
      </c>
    </row>
    <row r="27" spans="1:37">
      <c r="A27" t="s">
        <v>64</v>
      </c>
      <c r="C27" t="s">
        <v>65</v>
      </c>
      <c r="D27">
        <v>962</v>
      </c>
      <c r="E27" t="str">
        <f t="shared" si="4"/>
        <v/>
      </c>
      <c r="F27">
        <f t="shared" si="1"/>
        <v>1</v>
      </c>
      <c r="G27">
        <v>9</v>
      </c>
      <c r="H27">
        <v>1</v>
      </c>
      <c r="I27" s="2">
        <f t="shared" si="5"/>
        <v>0.1111111111111111</v>
      </c>
      <c r="J27" s="3">
        <f>D27*I27</f>
        <v>106.88888888888889</v>
      </c>
      <c r="L27">
        <f>_xlfn.RANK.EQ(J27,J$13:J$68)</f>
        <v>2</v>
      </c>
      <c r="O27" t="str">
        <f t="shared" si="3"/>
        <v/>
      </c>
      <c r="AG27" s="3"/>
      <c r="AJ27" s="3"/>
    </row>
    <row r="28" spans="1:37">
      <c r="A28" t="s">
        <v>66</v>
      </c>
      <c r="C28" t="s">
        <v>67</v>
      </c>
      <c r="D28">
        <v>561</v>
      </c>
      <c r="E28" t="str">
        <f t="shared" si="4"/>
        <v/>
      </c>
      <c r="F28" t="str">
        <f t="shared" si="1"/>
        <v/>
      </c>
      <c r="O28">
        <f t="shared" si="3"/>
        <v>1</v>
      </c>
      <c r="AE28">
        <v>52</v>
      </c>
      <c r="AF28">
        <v>10</v>
      </c>
      <c r="AG28" s="3">
        <f>$D28*AF28/AE28</f>
        <v>107.88461538461539</v>
      </c>
      <c r="AJ28" s="3">
        <f>IF(O28&gt;0,SUM(Q28+S28+V28+X28+AB28+AD28+AG28))</f>
        <v>107.88461538461539</v>
      </c>
    </row>
    <row r="29" spans="1:37">
      <c r="A29" t="s">
        <v>66</v>
      </c>
      <c r="C29" t="s">
        <v>68</v>
      </c>
      <c r="D29">
        <v>427</v>
      </c>
      <c r="E29" t="str">
        <f t="shared" si="4"/>
        <v/>
      </c>
      <c r="F29" t="str">
        <f t="shared" si="1"/>
        <v/>
      </c>
      <c r="O29">
        <f t="shared" si="3"/>
        <v>1</v>
      </c>
      <c r="AE29">
        <v>52</v>
      </c>
      <c r="AF29">
        <v>12</v>
      </c>
      <c r="AG29" s="3">
        <f t="shared" ref="AG29:AG31" si="6">$D29*AF29/AE29</f>
        <v>98.538461538461533</v>
      </c>
      <c r="AJ29" s="3">
        <f>IF(O29&gt;0,SUM(Q29+S29+V29+X29+AB29+AD29+AG29))</f>
        <v>98.538461538461533</v>
      </c>
    </row>
    <row r="30" spans="1:37">
      <c r="A30" t="s">
        <v>66</v>
      </c>
      <c r="C30" t="s">
        <v>69</v>
      </c>
      <c r="D30">
        <v>260</v>
      </c>
      <c r="E30" t="str">
        <f t="shared" si="4"/>
        <v/>
      </c>
      <c r="F30" t="str">
        <f t="shared" si="1"/>
        <v/>
      </c>
      <c r="O30">
        <f t="shared" si="3"/>
        <v>1</v>
      </c>
      <c r="AE30">
        <v>52</v>
      </c>
      <c r="AF30">
        <v>12</v>
      </c>
      <c r="AG30" s="3">
        <f t="shared" si="6"/>
        <v>60</v>
      </c>
      <c r="AJ30" s="3">
        <f>IF(O30&gt;0,SUM(Q30+S30+V30+X30+AB30+AD30+AG30))</f>
        <v>60</v>
      </c>
    </row>
    <row r="31" spans="1:37">
      <c r="A31" t="s">
        <v>66</v>
      </c>
      <c r="C31" t="s">
        <v>70</v>
      </c>
      <c r="D31">
        <v>361</v>
      </c>
      <c r="E31" t="str">
        <f t="shared" si="4"/>
        <v/>
      </c>
      <c r="F31" t="str">
        <f t="shared" si="1"/>
        <v/>
      </c>
      <c r="O31">
        <f t="shared" si="3"/>
        <v>1</v>
      </c>
      <c r="AE31">
        <v>52</v>
      </c>
      <c r="AF31">
        <v>12</v>
      </c>
      <c r="AG31" s="3">
        <f t="shared" si="6"/>
        <v>83.307692307692307</v>
      </c>
      <c r="AJ31" s="3">
        <f>IF(O31&gt;0,SUM(Q31+S31+V31+X31+AB31+AD31+AG31))</f>
        <v>83.307692307692307</v>
      </c>
    </row>
    <row r="32" spans="1:37" s="1" customFormat="1">
      <c r="A32" s="1" t="s">
        <v>71</v>
      </c>
      <c r="B32" s="1" t="s">
        <v>55</v>
      </c>
      <c r="C32" s="1">
        <v>5210</v>
      </c>
      <c r="D32" s="1">
        <f>SUM(D25:D31)</f>
        <v>4168</v>
      </c>
      <c r="E32" s="1" t="str">
        <f t="shared" si="4"/>
        <v/>
      </c>
      <c r="F32" s="1">
        <f>SUMIF(F25:F31,"&gt;0", D25:D31)</f>
        <v>2559</v>
      </c>
      <c r="I32" s="10"/>
      <c r="J32" s="11">
        <f>SUM(J25:J31)</f>
        <v>162.96274300796915</v>
      </c>
      <c r="K32" s="10">
        <f>J32/F32</f>
        <v>6.3682197345826169E-2</v>
      </c>
      <c r="L32"/>
      <c r="O32" s="1" t="str">
        <f t="shared" si="3"/>
        <v/>
      </c>
      <c r="Q32" s="11"/>
      <c r="V32" s="11"/>
      <c r="X32" s="11"/>
      <c r="AI32" s="1">
        <f>SUM(AI26:AI31)</f>
        <v>0</v>
      </c>
      <c r="AJ32" s="11">
        <f>SUM(AJ25:AJ31)</f>
        <v>1460.1057692307693</v>
      </c>
    </row>
    <row r="33" spans="1:36">
      <c r="B33" s="1" t="s">
        <v>56</v>
      </c>
      <c r="C33" s="10">
        <f>D32/C32</f>
        <v>0.8</v>
      </c>
      <c r="E33" s="1" t="s">
        <v>57</v>
      </c>
      <c r="F33" s="10">
        <f>F32/C32</f>
        <v>0.49117082533589251</v>
      </c>
      <c r="O33" t="str">
        <f t="shared" si="3"/>
        <v/>
      </c>
      <c r="AH33" s="1" t="s">
        <v>72</v>
      </c>
      <c r="AJ33" s="11">
        <f>AJ32/SUMIF(AJ25:AJ31, "&gt;0", D25:D31)</f>
        <v>0.50733348479178919</v>
      </c>
    </row>
    <row r="34" spans="1:36">
      <c r="A34" s="1" t="s">
        <v>73</v>
      </c>
      <c r="E34" t="str">
        <f>IF(AND(F34=1,O34&lt;=5),1,"")</f>
        <v/>
      </c>
      <c r="F34" t="str">
        <f t="shared" si="1"/>
        <v/>
      </c>
      <c r="H34" t="s">
        <v>74</v>
      </c>
      <c r="O34" t="str">
        <f t="shared" si="3"/>
        <v/>
      </c>
      <c r="AI34" s="3"/>
    </row>
    <row r="35" spans="1:36">
      <c r="A35" t="s">
        <v>75</v>
      </c>
      <c r="C35" t="s">
        <v>76</v>
      </c>
      <c r="D35">
        <v>35</v>
      </c>
      <c r="O35">
        <f t="shared" si="3"/>
        <v>1</v>
      </c>
      <c r="AC35">
        <v>1.6</v>
      </c>
      <c r="AD35" s="3">
        <f>$D35*MAX(0, (AC35/AC$5-1))</f>
        <v>2.333333333333333</v>
      </c>
      <c r="AI35" s="3">
        <f>IF(O35&gt;0,SUM(Q35+S35+V35+X35+Z35+AB35+AD35+AG35))</f>
        <v>2.333333333333333</v>
      </c>
    </row>
    <row r="36" spans="1:36">
      <c r="A36" t="s">
        <v>75</v>
      </c>
      <c r="C36" t="s">
        <v>77</v>
      </c>
      <c r="D36">
        <v>53</v>
      </c>
      <c r="E36" t="str">
        <f>IF(AND(F36=1,O36&lt;=5),1,"")</f>
        <v/>
      </c>
      <c r="F36" t="str">
        <f t="shared" si="1"/>
        <v/>
      </c>
      <c r="O36">
        <f t="shared" si="3"/>
        <v>1</v>
      </c>
      <c r="AC36">
        <v>3.1</v>
      </c>
      <c r="AD36" s="3">
        <f>$D36*MAX(0, (AC36/AC$5-1))</f>
        <v>56.533333333333346</v>
      </c>
      <c r="AI36" s="3">
        <f>IF(O36&gt;0,SUM(Q36+S36+V36+X36+Z36+AB36+AD36+AG36))</f>
        <v>56.533333333333346</v>
      </c>
    </row>
    <row r="37" spans="1:36">
      <c r="A37" t="s">
        <v>75</v>
      </c>
      <c r="C37" t="s">
        <v>78</v>
      </c>
      <c r="D37">
        <v>37</v>
      </c>
      <c r="E37" t="str">
        <f>IF(AND(F37=1,O37&lt;=5),1,"")</f>
        <v/>
      </c>
      <c r="F37" t="str">
        <f t="shared" si="1"/>
        <v/>
      </c>
      <c r="O37">
        <f t="shared" si="3"/>
        <v>1</v>
      </c>
      <c r="AC37">
        <v>2</v>
      </c>
      <c r="AD37" s="3">
        <f>$D37*MAX(0, (AC37/AC$5-1))</f>
        <v>12.33333333333333</v>
      </c>
      <c r="AI37" s="3">
        <f>IF(O37&gt;0,SUM(Q37+S37+V37+X37+Z37+AB37+AD37+AG37))</f>
        <v>12.33333333333333</v>
      </c>
    </row>
    <row r="38" spans="1:36" s="1" customFormat="1">
      <c r="A38" s="1" t="s">
        <v>79</v>
      </c>
      <c r="B38" s="1" t="s">
        <v>55</v>
      </c>
      <c r="C38" s="1">
        <v>2094</v>
      </c>
      <c r="D38" s="1">
        <f>SUM(D35:D37)</f>
        <v>125</v>
      </c>
      <c r="E38" s="1" t="str">
        <f>IF(AND(F38=1,O38&lt;=5),1,"")</f>
        <v/>
      </c>
      <c r="F38" s="1">
        <f>SUMIF(F36:F37,"&gt;0", D36:D37)</f>
        <v>0</v>
      </c>
      <c r="I38" s="10"/>
      <c r="J38" s="11">
        <f>SUM(J36:J37)</f>
        <v>0</v>
      </c>
      <c r="K38" s="10">
        <f>J38</f>
        <v>0</v>
      </c>
      <c r="O38" s="1" t="str">
        <f t="shared" si="3"/>
        <v/>
      </c>
      <c r="Q38" s="11"/>
      <c r="V38" s="11"/>
      <c r="X38" s="11"/>
      <c r="AI38" s="11">
        <f>SUM(AI35:AI37)</f>
        <v>71.200000000000017</v>
      </c>
      <c r="AJ38" s="1">
        <f>SUM(AJ36:AJ37)</f>
        <v>0</v>
      </c>
    </row>
    <row r="39" spans="1:36" s="1" customFormat="1">
      <c r="B39" s="1" t="s">
        <v>56</v>
      </c>
      <c r="C39" s="10">
        <f>D38/C38</f>
        <v>5.9694364851957976E-2</v>
      </c>
      <c r="E39" s="1" t="s">
        <v>57</v>
      </c>
      <c r="F39" s="1">
        <f>F38/C38</f>
        <v>0</v>
      </c>
      <c r="I39" s="10"/>
      <c r="J39" s="11"/>
      <c r="K39" s="10"/>
      <c r="Q39" s="11"/>
      <c r="V39" s="11"/>
      <c r="X39" s="11"/>
      <c r="AH39" s="1" t="s">
        <v>58</v>
      </c>
      <c r="AI39" s="11">
        <f>AI38/SUMIF(AI36:AI37, "&gt;0", D36:D37)</f>
        <v>0.79111111111111132</v>
      </c>
    </row>
    <row r="40" spans="1:36">
      <c r="A40" s="1" t="s">
        <v>80</v>
      </c>
      <c r="E40" t="str">
        <f t="shared" ref="E40:E67" si="7">IF(AND(F40=1,O40&lt;=5),1,"")</f>
        <v/>
      </c>
      <c r="F40" t="str">
        <f t="shared" si="1"/>
        <v/>
      </c>
      <c r="G40" s="1" t="s">
        <v>81</v>
      </c>
      <c r="O40" t="str">
        <f t="shared" si="3"/>
        <v/>
      </c>
      <c r="R40" t="s">
        <v>82</v>
      </c>
    </row>
    <row r="41" spans="1:36">
      <c r="A41" t="s">
        <v>83</v>
      </c>
      <c r="C41" t="s">
        <v>84</v>
      </c>
      <c r="D41">
        <v>176</v>
      </c>
      <c r="E41" t="str">
        <f t="shared" si="7"/>
        <v/>
      </c>
      <c r="F41" t="str">
        <f t="shared" si="1"/>
        <v/>
      </c>
      <c r="O41">
        <f t="shared" si="3"/>
        <v>1</v>
      </c>
      <c r="T41">
        <v>24</v>
      </c>
      <c r="U41">
        <v>9</v>
      </c>
      <c r="V41" s="3">
        <f>D41*U41/T41</f>
        <v>66</v>
      </c>
      <c r="Z41" s="3"/>
      <c r="AJ41" s="3">
        <f>IF(O41&gt;0,SUM(Q41+S41+V41+X41+Z41+AB41+AD41+AG41)," ")</f>
        <v>66</v>
      </c>
    </row>
    <row r="42" spans="1:36">
      <c r="A42" t="s">
        <v>83</v>
      </c>
      <c r="C42" t="s">
        <v>85</v>
      </c>
      <c r="D42">
        <v>16</v>
      </c>
      <c r="E42" t="str">
        <f t="shared" si="7"/>
        <v/>
      </c>
      <c r="F42">
        <f t="shared" si="1"/>
        <v>1</v>
      </c>
      <c r="G42">
        <v>24</v>
      </c>
      <c r="H42">
        <v>2</v>
      </c>
      <c r="I42" s="2">
        <f t="shared" ref="I42:I67" si="8">H42/G42</f>
        <v>8.3333333333333329E-2</v>
      </c>
      <c r="J42" s="3">
        <f>D42*I42</f>
        <v>1.3333333333333333</v>
      </c>
      <c r="L42">
        <f>_xlfn.RANK.EQ(J42,J$13:J$68)</f>
        <v>15</v>
      </c>
      <c r="O42" t="str">
        <f t="shared" si="3"/>
        <v/>
      </c>
      <c r="Z42" s="3"/>
      <c r="AJ42" s="3">
        <f t="shared" ref="AJ42:AJ67" si="9">IF(O42&gt;0,SUM(Q42+S42+V42+X42+Z42+AB42+AD42+AG42)," ")</f>
        <v>0</v>
      </c>
    </row>
    <row r="43" spans="1:36">
      <c r="A43" t="s">
        <v>83</v>
      </c>
      <c r="C43" t="s">
        <v>86</v>
      </c>
      <c r="D43">
        <v>125</v>
      </c>
      <c r="E43" t="str">
        <f t="shared" si="7"/>
        <v/>
      </c>
      <c r="O43">
        <f t="shared" si="3"/>
        <v>1</v>
      </c>
      <c r="T43">
        <v>24</v>
      </c>
      <c r="U43">
        <v>23</v>
      </c>
      <c r="V43" s="3">
        <f>D43*U43/T43</f>
        <v>119.79166666666667</v>
      </c>
      <c r="Y43">
        <v>5</v>
      </c>
      <c r="Z43" s="3">
        <f>D43*Y43/12</f>
        <v>52.083333333333336</v>
      </c>
      <c r="AJ43" s="3">
        <f>IF(O43&gt;0,SUM(Q43+S43+V43+X43+Z43+AB43+AD43+AG43)," ")-V43*Z43/D43</f>
        <v>121.96180555555556</v>
      </c>
    </row>
    <row r="44" spans="1:36">
      <c r="A44" t="s">
        <v>83</v>
      </c>
      <c r="C44" t="s">
        <v>87</v>
      </c>
      <c r="D44">
        <v>57</v>
      </c>
      <c r="E44" t="str">
        <f t="shared" si="7"/>
        <v/>
      </c>
      <c r="F44" t="str">
        <f t="shared" si="1"/>
        <v/>
      </c>
      <c r="O44">
        <f t="shared" si="3"/>
        <v>1</v>
      </c>
      <c r="T44">
        <v>24</v>
      </c>
      <c r="U44">
        <v>1</v>
      </c>
      <c r="V44" s="3">
        <f>D44*U44/T44</f>
        <v>2.375</v>
      </c>
      <c r="Z44" s="3"/>
      <c r="AJ44" s="3">
        <f t="shared" si="9"/>
        <v>2.375</v>
      </c>
    </row>
    <row r="45" spans="1:36">
      <c r="A45" t="s">
        <v>83</v>
      </c>
      <c r="C45" t="s">
        <v>88</v>
      </c>
      <c r="D45">
        <v>113</v>
      </c>
      <c r="E45" t="str">
        <f t="shared" si="7"/>
        <v/>
      </c>
      <c r="F45" t="str">
        <f t="shared" si="1"/>
        <v/>
      </c>
      <c r="O45">
        <f t="shared" si="3"/>
        <v>1</v>
      </c>
      <c r="T45">
        <v>29</v>
      </c>
      <c r="U45">
        <v>29</v>
      </c>
      <c r="V45" s="3">
        <f>D45*U45/T45</f>
        <v>113</v>
      </c>
      <c r="Z45" s="3"/>
      <c r="AJ45" s="3">
        <f t="shared" si="9"/>
        <v>113</v>
      </c>
    </row>
    <row r="46" spans="1:36">
      <c r="A46" t="s">
        <v>83</v>
      </c>
      <c r="C46" t="s">
        <v>89</v>
      </c>
      <c r="D46">
        <v>165</v>
      </c>
      <c r="E46" t="str">
        <f t="shared" si="7"/>
        <v/>
      </c>
      <c r="F46" t="str">
        <f t="shared" si="1"/>
        <v/>
      </c>
      <c r="O46">
        <f t="shared" si="3"/>
        <v>1</v>
      </c>
      <c r="T46">
        <v>24</v>
      </c>
      <c r="U46">
        <v>4</v>
      </c>
      <c r="V46" s="3">
        <f>D46*U46/T46</f>
        <v>27.5</v>
      </c>
      <c r="Y46">
        <v>1</v>
      </c>
      <c r="Z46" s="3">
        <f>D46*Y46/12</f>
        <v>13.75</v>
      </c>
      <c r="AJ46" s="3">
        <f>IF(O46&gt;0,SUM(Q46+S46+V46+X46+Z46+AB46+AD46+AG46)," ")-V46*Z46/D46</f>
        <v>38.958333333333336</v>
      </c>
    </row>
    <row r="47" spans="1:36">
      <c r="A47" t="s">
        <v>83</v>
      </c>
      <c r="C47" t="s">
        <v>90</v>
      </c>
      <c r="D47">
        <v>70</v>
      </c>
      <c r="E47" t="str">
        <f t="shared" si="7"/>
        <v/>
      </c>
      <c r="F47">
        <f t="shared" si="1"/>
        <v>1</v>
      </c>
      <c r="G47">
        <v>24</v>
      </c>
      <c r="H47">
        <v>4</v>
      </c>
      <c r="I47" s="2">
        <f t="shared" si="8"/>
        <v>0.16666666666666666</v>
      </c>
      <c r="J47" s="3">
        <f>D47*I47</f>
        <v>11.666666666666666</v>
      </c>
      <c r="L47">
        <f>_xlfn.RANK.EQ(J47,J$13:J$68)</f>
        <v>5</v>
      </c>
      <c r="O47" t="str">
        <f t="shared" si="3"/>
        <v/>
      </c>
      <c r="Z47" s="3"/>
      <c r="AJ47" s="3">
        <f t="shared" si="9"/>
        <v>0</v>
      </c>
    </row>
    <row r="48" spans="1:36">
      <c r="A48" t="s">
        <v>83</v>
      </c>
      <c r="C48" t="s">
        <v>91</v>
      </c>
      <c r="D48">
        <v>25</v>
      </c>
      <c r="E48" t="str">
        <f t="shared" si="7"/>
        <v/>
      </c>
      <c r="F48">
        <f t="shared" si="1"/>
        <v>1</v>
      </c>
      <c r="G48">
        <v>24</v>
      </c>
      <c r="H48">
        <v>2</v>
      </c>
      <c r="I48" s="2">
        <f t="shared" si="8"/>
        <v>8.3333333333333329E-2</v>
      </c>
      <c r="J48" s="3">
        <f>D48*I48</f>
        <v>2.083333333333333</v>
      </c>
      <c r="L48">
        <f>_xlfn.RANK.EQ(J48,J$13:J$68)</f>
        <v>10</v>
      </c>
      <c r="O48" t="str">
        <f t="shared" si="3"/>
        <v/>
      </c>
      <c r="Z48" s="3"/>
      <c r="AJ48" s="3">
        <f t="shared" si="9"/>
        <v>0</v>
      </c>
    </row>
    <row r="49" spans="1:36">
      <c r="A49" t="s">
        <v>83</v>
      </c>
      <c r="C49" t="s">
        <v>92</v>
      </c>
      <c r="D49">
        <v>76</v>
      </c>
      <c r="E49" t="str">
        <f t="shared" si="7"/>
        <v/>
      </c>
      <c r="F49" t="str">
        <f t="shared" si="1"/>
        <v/>
      </c>
      <c r="O49">
        <f t="shared" si="3"/>
        <v>1</v>
      </c>
      <c r="T49">
        <v>24</v>
      </c>
      <c r="U49">
        <v>22</v>
      </c>
      <c r="V49" s="3">
        <f>D49*U49/T49</f>
        <v>69.666666666666671</v>
      </c>
      <c r="Z49" s="3"/>
      <c r="AJ49" s="3">
        <f t="shared" si="9"/>
        <v>69.666666666666671</v>
      </c>
    </row>
    <row r="50" spans="1:36">
      <c r="A50" t="s">
        <v>83</v>
      </c>
      <c r="C50" t="s">
        <v>93</v>
      </c>
      <c r="D50">
        <v>35</v>
      </c>
      <c r="E50" t="str">
        <f t="shared" si="7"/>
        <v/>
      </c>
      <c r="F50">
        <f t="shared" si="1"/>
        <v>1</v>
      </c>
      <c r="G50">
        <v>24</v>
      </c>
      <c r="H50">
        <v>1</v>
      </c>
      <c r="I50" s="2">
        <f t="shared" si="8"/>
        <v>4.1666666666666664E-2</v>
      </c>
      <c r="J50" s="3">
        <f>D50*I50</f>
        <v>1.4583333333333333</v>
      </c>
      <c r="L50">
        <f>_xlfn.RANK.EQ(J50,J$13:J$68)</f>
        <v>14</v>
      </c>
      <c r="O50" t="str">
        <f t="shared" si="3"/>
        <v/>
      </c>
      <c r="Z50" s="3"/>
      <c r="AJ50" s="3">
        <f t="shared" si="9"/>
        <v>0</v>
      </c>
    </row>
    <row r="51" spans="1:36">
      <c r="A51" t="s">
        <v>83</v>
      </c>
      <c r="C51" t="s">
        <v>94</v>
      </c>
      <c r="D51">
        <v>47</v>
      </c>
      <c r="E51" t="str">
        <f t="shared" si="7"/>
        <v/>
      </c>
      <c r="F51" t="str">
        <f t="shared" si="1"/>
        <v/>
      </c>
      <c r="O51">
        <f t="shared" si="3"/>
        <v>1</v>
      </c>
      <c r="T51">
        <v>24</v>
      </c>
      <c r="U51">
        <v>23</v>
      </c>
      <c r="V51" s="3">
        <f>D51*U51/T51</f>
        <v>45.041666666666664</v>
      </c>
      <c r="Z51" s="3"/>
      <c r="AJ51" s="3">
        <f t="shared" si="9"/>
        <v>45.041666666666664</v>
      </c>
    </row>
    <row r="52" spans="1:36">
      <c r="A52" t="s">
        <v>83</v>
      </c>
      <c r="C52" t="s">
        <v>95</v>
      </c>
      <c r="D52">
        <v>27</v>
      </c>
      <c r="E52" t="str">
        <f t="shared" si="7"/>
        <v/>
      </c>
      <c r="F52">
        <f t="shared" si="1"/>
        <v>1</v>
      </c>
      <c r="G52">
        <v>24</v>
      </c>
      <c r="H52">
        <v>1</v>
      </c>
      <c r="I52" s="2">
        <f t="shared" si="8"/>
        <v>4.1666666666666664E-2</v>
      </c>
      <c r="J52" s="3">
        <f>D52*I52</f>
        <v>1.125</v>
      </c>
      <c r="L52">
        <f>_xlfn.RANK.EQ(J52,J$13:J$68)</f>
        <v>17</v>
      </c>
      <c r="O52" t="str">
        <f t="shared" si="3"/>
        <v/>
      </c>
      <c r="Z52" s="3"/>
      <c r="AJ52" s="3">
        <f t="shared" si="9"/>
        <v>0</v>
      </c>
    </row>
    <row r="53" spans="1:36">
      <c r="A53" t="s">
        <v>83</v>
      </c>
      <c r="C53" t="s">
        <v>96</v>
      </c>
      <c r="D53">
        <v>94</v>
      </c>
      <c r="E53">
        <f t="shared" si="7"/>
        <v>1</v>
      </c>
      <c r="F53">
        <f t="shared" si="1"/>
        <v>1</v>
      </c>
      <c r="G53">
        <v>24</v>
      </c>
      <c r="H53">
        <v>1</v>
      </c>
      <c r="I53" s="2">
        <f t="shared" si="8"/>
        <v>4.1666666666666664E-2</v>
      </c>
      <c r="J53" s="3">
        <f>D53*I53</f>
        <v>3.9166666666666665</v>
      </c>
      <c r="L53">
        <f>_xlfn.RANK.EQ(J53,J$13:J$68)</f>
        <v>7</v>
      </c>
      <c r="O53">
        <f t="shared" si="3"/>
        <v>1</v>
      </c>
      <c r="T53">
        <v>25</v>
      </c>
      <c r="U53">
        <v>25</v>
      </c>
      <c r="V53" s="3">
        <f>D53*U53/T53</f>
        <v>94</v>
      </c>
      <c r="Z53" s="3"/>
      <c r="AJ53" s="3">
        <f t="shared" si="9"/>
        <v>94</v>
      </c>
    </row>
    <row r="54" spans="1:36">
      <c r="A54" t="s">
        <v>83</v>
      </c>
      <c r="C54" t="s">
        <v>97</v>
      </c>
      <c r="D54">
        <v>91</v>
      </c>
      <c r="E54" t="str">
        <f t="shared" si="7"/>
        <v/>
      </c>
      <c r="F54" t="str">
        <f t="shared" si="1"/>
        <v/>
      </c>
      <c r="O54">
        <f t="shared" si="3"/>
        <v>1</v>
      </c>
      <c r="U54">
        <v>1</v>
      </c>
      <c r="Z54" s="3"/>
      <c r="AJ54" s="3">
        <f t="shared" si="9"/>
        <v>0</v>
      </c>
    </row>
    <row r="55" spans="1:36">
      <c r="A55" t="s">
        <v>83</v>
      </c>
      <c r="C55" t="s">
        <v>98</v>
      </c>
      <c r="D55">
        <v>45</v>
      </c>
      <c r="E55">
        <f t="shared" si="7"/>
        <v>1</v>
      </c>
      <c r="F55">
        <f t="shared" si="1"/>
        <v>1</v>
      </c>
      <c r="G55">
        <v>24</v>
      </c>
      <c r="H55">
        <v>1</v>
      </c>
      <c r="I55" s="2">
        <f t="shared" si="8"/>
        <v>4.1666666666666664E-2</v>
      </c>
      <c r="J55" s="3">
        <f>D55*I55</f>
        <v>1.875</v>
      </c>
      <c r="L55">
        <f>_xlfn.RANK.EQ(J55,J$13:J$68)</f>
        <v>11</v>
      </c>
      <c r="O55">
        <f t="shared" si="3"/>
        <v>1</v>
      </c>
      <c r="T55">
        <v>24</v>
      </c>
      <c r="U55">
        <v>14</v>
      </c>
      <c r="V55" s="3">
        <f>D55*U55/T55</f>
        <v>26.25</v>
      </c>
      <c r="Z55" s="3"/>
      <c r="AJ55" s="3">
        <f t="shared" si="9"/>
        <v>26.25</v>
      </c>
    </row>
    <row r="56" spans="1:36">
      <c r="A56" t="s">
        <v>83</v>
      </c>
      <c r="C56" t="s">
        <v>99</v>
      </c>
      <c r="D56">
        <v>30</v>
      </c>
      <c r="E56" t="str">
        <f t="shared" si="7"/>
        <v/>
      </c>
      <c r="F56">
        <f t="shared" si="1"/>
        <v>1</v>
      </c>
      <c r="G56">
        <v>24</v>
      </c>
      <c r="H56">
        <v>3</v>
      </c>
      <c r="I56" s="2">
        <f t="shared" si="8"/>
        <v>0.125</v>
      </c>
      <c r="J56" s="3">
        <f>D56*I56</f>
        <v>3.75</v>
      </c>
      <c r="L56">
        <f>_xlfn.RANK.EQ(J56,J$13:J$68)</f>
        <v>8</v>
      </c>
      <c r="O56" t="str">
        <f t="shared" si="3"/>
        <v/>
      </c>
      <c r="Z56" s="3"/>
      <c r="AJ56" s="3">
        <f t="shared" si="9"/>
        <v>0</v>
      </c>
    </row>
    <row r="57" spans="1:36">
      <c r="A57" t="s">
        <v>83</v>
      </c>
      <c r="C57" t="s">
        <v>100</v>
      </c>
      <c r="D57">
        <v>125</v>
      </c>
      <c r="E57" t="str">
        <f t="shared" si="7"/>
        <v/>
      </c>
      <c r="F57" t="str">
        <f t="shared" si="1"/>
        <v/>
      </c>
      <c r="O57">
        <f t="shared" si="3"/>
        <v>1</v>
      </c>
      <c r="T57">
        <v>26</v>
      </c>
      <c r="U57">
        <v>26</v>
      </c>
      <c r="V57" s="3">
        <f>D57*U57/T57</f>
        <v>125</v>
      </c>
      <c r="Z57" s="3"/>
      <c r="AJ57" s="3">
        <f t="shared" si="9"/>
        <v>125</v>
      </c>
    </row>
    <row r="58" spans="1:36">
      <c r="A58" t="s">
        <v>83</v>
      </c>
      <c r="C58" t="s">
        <v>101</v>
      </c>
      <c r="D58">
        <v>129</v>
      </c>
      <c r="E58" t="str">
        <f t="shared" si="7"/>
        <v/>
      </c>
      <c r="F58" t="str">
        <f t="shared" si="1"/>
        <v/>
      </c>
      <c r="O58">
        <f t="shared" si="3"/>
        <v>1</v>
      </c>
      <c r="Y58">
        <v>3</v>
      </c>
      <c r="Z58" s="3">
        <f>D58*Y58/12</f>
        <v>32.25</v>
      </c>
      <c r="AJ58" s="3">
        <f t="shared" si="9"/>
        <v>32.25</v>
      </c>
    </row>
    <row r="59" spans="1:36">
      <c r="A59" t="s">
        <v>83</v>
      </c>
      <c r="C59" t="s">
        <v>102</v>
      </c>
      <c r="D59">
        <v>30</v>
      </c>
      <c r="E59">
        <f t="shared" si="7"/>
        <v>1</v>
      </c>
      <c r="F59">
        <f t="shared" si="1"/>
        <v>1</v>
      </c>
      <c r="G59">
        <v>24</v>
      </c>
      <c r="H59">
        <v>1</v>
      </c>
      <c r="I59" s="2">
        <f t="shared" si="8"/>
        <v>4.1666666666666664E-2</v>
      </c>
      <c r="J59" s="3">
        <f>D59*I59</f>
        <v>1.25</v>
      </c>
      <c r="L59">
        <f>_xlfn.RANK.EQ(J59,J$13:J$68)</f>
        <v>16</v>
      </c>
      <c r="O59">
        <f t="shared" si="3"/>
        <v>1</v>
      </c>
      <c r="T59">
        <v>24</v>
      </c>
      <c r="U59">
        <v>22</v>
      </c>
      <c r="V59" s="3">
        <f>D59*U59/T59</f>
        <v>27.5</v>
      </c>
      <c r="Z59" s="3"/>
      <c r="AJ59" s="3">
        <f t="shared" si="9"/>
        <v>27.5</v>
      </c>
    </row>
    <row r="60" spans="1:36">
      <c r="A60" t="s">
        <v>83</v>
      </c>
      <c r="C60" t="s">
        <v>103</v>
      </c>
      <c r="D60">
        <v>40</v>
      </c>
      <c r="E60" t="str">
        <f t="shared" si="7"/>
        <v/>
      </c>
      <c r="F60" t="str">
        <f t="shared" si="1"/>
        <v/>
      </c>
      <c r="O60">
        <f t="shared" si="3"/>
        <v>1</v>
      </c>
      <c r="Y60">
        <v>8</v>
      </c>
      <c r="Z60" s="3">
        <f>D60*Y60/12</f>
        <v>26.666666666666668</v>
      </c>
      <c r="AJ60" s="3">
        <f t="shared" si="9"/>
        <v>26.666666666666668</v>
      </c>
    </row>
    <row r="61" spans="1:36">
      <c r="A61" t="s">
        <v>83</v>
      </c>
      <c r="C61" t="s">
        <v>104</v>
      </c>
      <c r="D61">
        <v>62</v>
      </c>
      <c r="E61" t="str">
        <f t="shared" si="7"/>
        <v/>
      </c>
      <c r="F61" t="str">
        <f t="shared" si="1"/>
        <v/>
      </c>
      <c r="O61">
        <f t="shared" si="3"/>
        <v>1</v>
      </c>
      <c r="T61">
        <v>24</v>
      </c>
      <c r="U61">
        <v>2</v>
      </c>
      <c r="V61" s="3">
        <f t="shared" ref="V61:V67" si="10">D61*U61/T61</f>
        <v>5.166666666666667</v>
      </c>
      <c r="Z61" s="3"/>
      <c r="AJ61" s="3">
        <f t="shared" si="9"/>
        <v>5.166666666666667</v>
      </c>
    </row>
    <row r="62" spans="1:36">
      <c r="A62" t="s">
        <v>83</v>
      </c>
      <c r="C62" t="s">
        <v>105</v>
      </c>
      <c r="D62">
        <v>67</v>
      </c>
      <c r="E62" t="str">
        <f t="shared" si="7"/>
        <v/>
      </c>
      <c r="F62" t="str">
        <f t="shared" si="1"/>
        <v/>
      </c>
      <c r="O62">
        <f t="shared" si="3"/>
        <v>1</v>
      </c>
      <c r="T62">
        <v>24</v>
      </c>
      <c r="U62">
        <v>3</v>
      </c>
      <c r="V62" s="3">
        <f t="shared" si="10"/>
        <v>8.375</v>
      </c>
      <c r="Z62" s="3"/>
      <c r="AJ62" s="3">
        <f t="shared" si="9"/>
        <v>8.375</v>
      </c>
    </row>
    <row r="63" spans="1:36">
      <c r="A63" t="s">
        <v>83</v>
      </c>
      <c r="C63" t="s">
        <v>106</v>
      </c>
      <c r="D63">
        <v>184</v>
      </c>
      <c r="E63" t="str">
        <f t="shared" si="7"/>
        <v/>
      </c>
      <c r="F63" t="str">
        <f t="shared" si="1"/>
        <v/>
      </c>
      <c r="O63">
        <f t="shared" si="3"/>
        <v>1</v>
      </c>
      <c r="T63">
        <v>24</v>
      </c>
      <c r="U63">
        <v>2</v>
      </c>
      <c r="V63" s="3">
        <f t="shared" si="10"/>
        <v>15.333333333333334</v>
      </c>
      <c r="AJ63" s="3">
        <f t="shared" si="9"/>
        <v>15.333333333333334</v>
      </c>
    </row>
    <row r="64" spans="1:36">
      <c r="A64" t="s">
        <v>83</v>
      </c>
      <c r="C64" t="s">
        <v>107</v>
      </c>
      <c r="D64">
        <v>127</v>
      </c>
      <c r="E64" t="str">
        <f t="shared" si="7"/>
        <v/>
      </c>
      <c r="F64" t="str">
        <f t="shared" si="1"/>
        <v/>
      </c>
      <c r="O64">
        <f t="shared" si="3"/>
        <v>1</v>
      </c>
      <c r="T64">
        <v>24</v>
      </c>
      <c r="U64">
        <v>21</v>
      </c>
      <c r="V64" s="3">
        <f t="shared" si="10"/>
        <v>111.125</v>
      </c>
      <c r="AJ64" s="3">
        <f t="shared" si="9"/>
        <v>111.125</v>
      </c>
    </row>
    <row r="65" spans="1:36">
      <c r="A65" t="s">
        <v>83</v>
      </c>
      <c r="C65" t="s">
        <v>108</v>
      </c>
      <c r="D65">
        <v>576</v>
      </c>
      <c r="E65" t="str">
        <f t="shared" si="7"/>
        <v/>
      </c>
      <c r="F65" t="str">
        <f t="shared" si="1"/>
        <v/>
      </c>
      <c r="O65">
        <f t="shared" si="3"/>
        <v>1</v>
      </c>
      <c r="T65">
        <v>24</v>
      </c>
      <c r="U65">
        <v>24</v>
      </c>
      <c r="V65" s="3">
        <f t="shared" si="10"/>
        <v>576</v>
      </c>
      <c r="AJ65" s="3">
        <f t="shared" si="9"/>
        <v>576</v>
      </c>
    </row>
    <row r="66" spans="1:36">
      <c r="A66" t="s">
        <v>83</v>
      </c>
      <c r="C66" t="s">
        <v>109</v>
      </c>
      <c r="D66">
        <v>151</v>
      </c>
      <c r="E66" t="str">
        <f t="shared" si="7"/>
        <v/>
      </c>
      <c r="F66" t="str">
        <f t="shared" si="1"/>
        <v/>
      </c>
      <c r="O66">
        <f t="shared" si="3"/>
        <v>1</v>
      </c>
      <c r="T66">
        <v>24</v>
      </c>
      <c r="U66">
        <v>20</v>
      </c>
      <c r="V66" s="3">
        <f t="shared" si="10"/>
        <v>125.83333333333333</v>
      </c>
      <c r="AJ66" s="3">
        <f t="shared" si="9"/>
        <v>125.83333333333333</v>
      </c>
    </row>
    <row r="67" spans="1:36">
      <c r="A67" t="s">
        <v>83</v>
      </c>
      <c r="C67" t="s">
        <v>110</v>
      </c>
      <c r="D67">
        <v>52</v>
      </c>
      <c r="E67">
        <f t="shared" si="7"/>
        <v>1</v>
      </c>
      <c r="F67">
        <f t="shared" si="1"/>
        <v>1</v>
      </c>
      <c r="G67">
        <v>24</v>
      </c>
      <c r="H67">
        <v>1</v>
      </c>
      <c r="I67" s="2">
        <f t="shared" si="8"/>
        <v>4.1666666666666664E-2</v>
      </c>
      <c r="J67" s="3">
        <f>D67*I67</f>
        <v>2.1666666666666665</v>
      </c>
      <c r="L67">
        <f>_xlfn.RANK.EQ(J67,J$13:J$68)</f>
        <v>9</v>
      </c>
      <c r="O67">
        <f t="shared" si="3"/>
        <v>1</v>
      </c>
      <c r="T67">
        <v>24</v>
      </c>
      <c r="U67">
        <v>4</v>
      </c>
      <c r="V67" s="3">
        <f t="shared" si="10"/>
        <v>8.6666666666666661</v>
      </c>
      <c r="AJ67" s="3">
        <f t="shared" si="9"/>
        <v>8.6666666666666661</v>
      </c>
    </row>
    <row r="68" spans="1:36" s="1" customFormat="1">
      <c r="A68" s="1" t="s">
        <v>111</v>
      </c>
      <c r="B68" s="1" t="s">
        <v>112</v>
      </c>
      <c r="C68" s="1">
        <v>2735</v>
      </c>
      <c r="D68" s="1">
        <f>SUM( D41:D67)</f>
        <v>2735</v>
      </c>
      <c r="F68" s="1">
        <f>SUMIF(F41:F67,"&gt;0", D41:D67)</f>
        <v>424</v>
      </c>
      <c r="I68" s="10"/>
      <c r="J68" s="11">
        <f>SUM(J41:J67)</f>
        <v>30.625</v>
      </c>
      <c r="K68" s="10">
        <f>J68/F68</f>
        <v>7.2228773584905662E-2</v>
      </c>
      <c r="Q68" s="11"/>
      <c r="V68" s="11"/>
      <c r="X68" s="11"/>
      <c r="AI68" s="1">
        <f>SUM(AI41:AI67)</f>
        <v>0</v>
      </c>
      <c r="AJ68" s="11">
        <f>SUM(AJ41:AJ67)</f>
        <v>1639.1701388888887</v>
      </c>
    </row>
    <row r="69" spans="1:36" s="1" customFormat="1">
      <c r="B69" s="1" t="s">
        <v>56</v>
      </c>
      <c r="C69" s="1">
        <f>D68/C68</f>
        <v>1</v>
      </c>
      <c r="E69" s="1" t="s">
        <v>57</v>
      </c>
      <c r="F69" s="10">
        <f>F68/C68</f>
        <v>0.15502742230347349</v>
      </c>
      <c r="I69" s="10"/>
      <c r="J69" s="11"/>
      <c r="K69" s="10"/>
      <c r="Q69" s="11"/>
      <c r="V69" s="11"/>
      <c r="X69" s="11"/>
      <c r="AH69" s="11" t="s">
        <v>72</v>
      </c>
      <c r="AJ69" s="11">
        <f>AJ68/SUMIF(AJ41:AJ67, "&gt;0", D41:D68)</f>
        <v>0.6715158291228549</v>
      </c>
    </row>
    <row r="70" spans="1:36">
      <c r="A70" s="1" t="s">
        <v>113</v>
      </c>
      <c r="D70" s="1">
        <f>D22+D32+D38+D68</f>
        <v>11402</v>
      </c>
      <c r="E70">
        <f>SUMIF(E10:E67,"&gt;0",D10:D67)</f>
        <v>1564</v>
      </c>
      <c r="F70" s="1">
        <f>F22++F32+F38+F68</f>
        <v>3057</v>
      </c>
      <c r="H70" s="1" t="s">
        <v>114</v>
      </c>
      <c r="I70"/>
      <c r="J70" s="11">
        <f>J22+J32+J38+J68</f>
        <v>195.06774300796914</v>
      </c>
      <c r="K70" s="10">
        <f>J70/F70</f>
        <v>6.3810187441272204E-2</v>
      </c>
      <c r="P70" s="1" t="s">
        <v>115</v>
      </c>
      <c r="Q70" s="3">
        <f>SUMIF(O10:O22,"&gt;0",D10:D22)+D36+D37</f>
        <v>4464</v>
      </c>
      <c r="R70" s="1" t="s">
        <v>116</v>
      </c>
      <c r="T70" s="12" t="s">
        <v>117</v>
      </c>
      <c r="U70" s="13"/>
      <c r="V70" s="14"/>
      <c r="W70" s="13"/>
      <c r="X70" s="15">
        <f>AI70/Q70</f>
        <v>1.11307123655914</v>
      </c>
      <c r="AF70" s="1" t="s">
        <v>118</v>
      </c>
      <c r="AI70" s="11">
        <f>AI22+AI32+AI38+AI68</f>
        <v>4968.7500000000009</v>
      </c>
      <c r="AJ70" s="11">
        <f>AJ22+AJ32+AJ38+AJ68</f>
        <v>3099.2759081196582</v>
      </c>
    </row>
    <row r="71" spans="1:36" ht="43.5">
      <c r="C71" s="7" t="s">
        <v>119</v>
      </c>
      <c r="D71" s="16" t="s">
        <v>120</v>
      </c>
      <c r="E71" s="16" t="s">
        <v>121</v>
      </c>
      <c r="F71" s="16" t="s">
        <v>122</v>
      </c>
      <c r="G71" s="16"/>
      <c r="H71" s="17" t="s">
        <v>123</v>
      </c>
      <c r="I71" s="13"/>
      <c r="J71" s="18">
        <f>J70/F70</f>
        <v>6.3810187441272204E-2</v>
      </c>
      <c r="K71" s="19"/>
      <c r="P71" s="1" t="s">
        <v>124</v>
      </c>
      <c r="Q71" s="3">
        <f>SUMIF(O25:O67,"&gt;0",D25:D67)-D36-D37</f>
        <v>5445</v>
      </c>
      <c r="R71" s="3">
        <f>Q70+Q71</f>
        <v>9909</v>
      </c>
      <c r="T71" s="12" t="s">
        <v>125</v>
      </c>
      <c r="U71" s="13"/>
      <c r="V71" s="14"/>
      <c r="W71" s="13"/>
      <c r="X71" s="15">
        <f>AJ70/Q71</f>
        <v>0.56919667734061674</v>
      </c>
    </row>
    <row r="72" spans="1:36" s="1" customFormat="1">
      <c r="A72"/>
      <c r="B72"/>
      <c r="D72"/>
      <c r="H72" t="s">
        <v>126</v>
      </c>
      <c r="I72"/>
      <c r="J72" s="1">
        <f>SUM(F10:F21)+SUM(F25:F31)+SUM(F36:F37)+SUM(F41:F67)</f>
        <v>14</v>
      </c>
      <c r="K72" s="10"/>
      <c r="N72"/>
      <c r="O72"/>
      <c r="P72" t="s">
        <v>127</v>
      </c>
      <c r="Q72" s="3">
        <f>Q70+Q71+F70-E70</f>
        <v>11402</v>
      </c>
      <c r="R72"/>
      <c r="S72"/>
      <c r="T72" t="s">
        <v>128</v>
      </c>
      <c r="U72"/>
      <c r="V72" s="3"/>
      <c r="W72"/>
      <c r="X72" s="20">
        <f>SUM(O10:O67)</f>
        <v>41</v>
      </c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" customFormat="1">
      <c r="A73"/>
      <c r="B73"/>
      <c r="H73"/>
      <c r="I73" s="2"/>
      <c r="K73" s="10"/>
      <c r="L73"/>
      <c r="M73"/>
      <c r="N73"/>
      <c r="O73"/>
      <c r="P73"/>
      <c r="Q73" s="3"/>
      <c r="R73"/>
      <c r="S73"/>
      <c r="T73"/>
      <c r="U73"/>
      <c r="V73" s="3"/>
      <c r="W73"/>
      <c r="X73" s="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" customFormat="1">
      <c r="A74"/>
      <c r="B74"/>
      <c r="G74"/>
      <c r="H74"/>
      <c r="I74" s="2"/>
      <c r="K74" s="10"/>
      <c r="L74"/>
      <c r="M74"/>
      <c r="N74"/>
      <c r="O74"/>
      <c r="P74"/>
      <c r="Q74" s="3"/>
      <c r="R74"/>
      <c r="S74"/>
      <c r="T74"/>
      <c r="U74"/>
      <c r="V74" s="3"/>
      <c r="W74"/>
      <c r="X74" s="3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" customFormat="1">
      <c r="A75" s="1" t="s">
        <v>129</v>
      </c>
      <c r="C75" s="1">
        <f>C22+C32+C38+C68</f>
        <v>42056</v>
      </c>
      <c r="F75" s="10">
        <f>F70/D70</f>
        <v>0.26811085774425542</v>
      </c>
      <c r="G75" s="10"/>
      <c r="H75"/>
      <c r="I75" s="2"/>
      <c r="K75" s="10"/>
      <c r="L75"/>
      <c r="M75"/>
      <c r="N75"/>
      <c r="O75"/>
      <c r="P75"/>
      <c r="Q75" s="3"/>
      <c r="R75"/>
      <c r="S75"/>
      <c r="T75"/>
      <c r="U75"/>
      <c r="V75" s="3"/>
      <c r="W75"/>
      <c r="X75" s="3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" customFormat="1">
      <c r="A76"/>
      <c r="B76" s="1" t="s">
        <v>130</v>
      </c>
      <c r="C76" s="10">
        <f>D70/C75</f>
        <v>0.27111470420391859</v>
      </c>
      <c r="E76" s="1" t="s">
        <v>131</v>
      </c>
      <c r="F76" s="10">
        <f>F70/C75</f>
        <v>7.268879589119269E-2</v>
      </c>
      <c r="H76"/>
      <c r="I76" s="2"/>
      <c r="K76" s="10"/>
      <c r="L76"/>
      <c r="M76"/>
      <c r="N76"/>
      <c r="O76"/>
      <c r="P76"/>
      <c r="Q76" s="3"/>
      <c r="R76"/>
      <c r="S76"/>
      <c r="T76"/>
      <c r="U76"/>
      <c r="V76" s="3"/>
      <c r="W76"/>
      <c r="X76" s="3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>
      <c r="A77"/>
      <c r="B77"/>
      <c r="H77"/>
      <c r="I77" s="2"/>
      <c r="K77" s="10"/>
      <c r="L77"/>
      <c r="M77"/>
      <c r="N77"/>
      <c r="O77"/>
      <c r="P77"/>
      <c r="Q77" s="3"/>
      <c r="R77"/>
      <c r="S77"/>
      <c r="T77"/>
      <c r="U77"/>
      <c r="V77" s="3"/>
      <c r="W77"/>
      <c r="X77" s="3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>
      <c r="A78"/>
      <c r="B78"/>
      <c r="H78"/>
      <c r="I78" s="2"/>
      <c r="K78" s="10"/>
      <c r="L78"/>
      <c r="M78"/>
      <c r="N78"/>
      <c r="O78"/>
      <c r="P78"/>
      <c r="Q78" s="3"/>
      <c r="R78"/>
      <c r="S78"/>
      <c r="T78"/>
      <c r="U78"/>
      <c r="V78" s="3"/>
      <c r="W78"/>
      <c r="X78" s="3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" customFormat="1">
      <c r="A79"/>
      <c r="B79"/>
      <c r="H79"/>
      <c r="I79" s="2"/>
      <c r="K79" s="10"/>
      <c r="L79"/>
      <c r="M79"/>
      <c r="N79"/>
      <c r="O79"/>
      <c r="P79"/>
      <c r="Q79" s="3"/>
      <c r="R79"/>
      <c r="S79"/>
      <c r="T79"/>
      <c r="U79"/>
      <c r="V79" s="3"/>
      <c r="W79"/>
      <c r="X79" s="3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" customFormat="1">
      <c r="A80"/>
      <c r="B80"/>
      <c r="H80"/>
      <c r="I80" s="2"/>
      <c r="K80" s="10"/>
      <c r="L80"/>
      <c r="M80"/>
      <c r="N80"/>
      <c r="O80"/>
      <c r="P80"/>
      <c r="Q80" s="3"/>
      <c r="R80"/>
      <c r="S80"/>
      <c r="T80"/>
      <c r="U80"/>
      <c r="V80" s="3"/>
      <c r="W80"/>
      <c r="X80" s="3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" customFormat="1">
      <c r="A81"/>
      <c r="B81"/>
      <c r="H81"/>
      <c r="I81" s="2"/>
      <c r="K81" s="10"/>
      <c r="L81"/>
      <c r="M81"/>
      <c r="N81"/>
      <c r="O81"/>
      <c r="P81"/>
      <c r="Q81" s="3"/>
      <c r="R81"/>
      <c r="S81"/>
      <c r="T81"/>
      <c r="U81"/>
      <c r="V81" s="3"/>
      <c r="W81"/>
      <c r="X81" s="3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>
      <c r="A82" s="1" t="s">
        <v>132</v>
      </c>
    </row>
    <row r="83" spans="1:36">
      <c r="A83" t="s">
        <v>155</v>
      </c>
    </row>
    <row r="84" spans="1:36">
      <c r="A84" t="s">
        <v>133</v>
      </c>
      <c r="D84" t="s">
        <v>134</v>
      </c>
    </row>
    <row r="85" spans="1:36">
      <c r="A85" t="s">
        <v>135</v>
      </c>
      <c r="D85">
        <v>6</v>
      </c>
      <c r="G85" t="s">
        <v>136</v>
      </c>
      <c r="H85">
        <v>1</v>
      </c>
    </row>
    <row r="86" spans="1:36">
      <c r="A86" t="s">
        <v>137</v>
      </c>
      <c r="D86" t="s">
        <v>134</v>
      </c>
    </row>
    <row r="87" spans="1:36">
      <c r="A87" t="s">
        <v>138</v>
      </c>
      <c r="D87">
        <v>13</v>
      </c>
      <c r="G87" t="s">
        <v>136</v>
      </c>
      <c r="H87">
        <v>1</v>
      </c>
    </row>
    <row r="90" spans="1:36">
      <c r="A90" s="1" t="s">
        <v>139</v>
      </c>
    </row>
    <row r="91" spans="1:36">
      <c r="A91" t="s">
        <v>140</v>
      </c>
    </row>
    <row r="93" spans="1:36">
      <c r="A93" s="1" t="s">
        <v>141</v>
      </c>
    </row>
    <row r="94" spans="1:36">
      <c r="A94" t="s">
        <v>142</v>
      </c>
    </row>
    <row r="96" spans="1:36">
      <c r="A96" s="1" t="s">
        <v>143</v>
      </c>
    </row>
    <row r="97" spans="1:2">
      <c r="A97" s="1" t="s">
        <v>144</v>
      </c>
    </row>
    <row r="98" spans="1:2">
      <c r="A98" t="s">
        <v>145</v>
      </c>
    </row>
    <row r="99" spans="1:2">
      <c r="A99" t="s">
        <v>146</v>
      </c>
    </row>
    <row r="100" spans="1:2">
      <c r="A100" t="s">
        <v>147</v>
      </c>
    </row>
    <row r="102" spans="1:2">
      <c r="A102" s="1" t="s">
        <v>148</v>
      </c>
    </row>
    <row r="103" spans="1:2">
      <c r="A103" t="s">
        <v>149</v>
      </c>
      <c r="B103" t="s">
        <v>150</v>
      </c>
    </row>
    <row r="104" spans="1:2">
      <c r="A104" t="s">
        <v>151</v>
      </c>
      <c r="B104" t="s">
        <v>152</v>
      </c>
    </row>
    <row r="105" spans="1:2">
      <c r="A105" t="s">
        <v>153</v>
      </c>
    </row>
    <row r="106" spans="1:2">
      <c r="A106" t="s">
        <v>154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5" fitToWidth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1821-D680-42B5-8BA8-2F63F386FE3F}">
  <dimension ref="A1:AK104"/>
  <sheetViews>
    <sheetView topLeftCell="R56" zoomScale="120" zoomScaleNormal="120" workbookViewId="0">
      <selection activeCell="T52" sqref="T52"/>
    </sheetView>
  </sheetViews>
  <sheetFormatPr defaultRowHeight="14.5"/>
  <cols>
    <col min="1" max="1" width="20.54296875" customWidth="1"/>
    <col min="2" max="2" width="13.7265625" customWidth="1"/>
    <col min="3" max="3" width="12.26953125" customWidth="1"/>
    <col min="4" max="5" width="11.26953125" customWidth="1"/>
    <col min="7" max="7" width="11.453125" customWidth="1"/>
    <col min="8" max="8" width="16.1796875" customWidth="1"/>
    <col min="9" max="9" width="9.1796875" style="2"/>
    <col min="10" max="10" width="9.1796875" style="3"/>
    <col min="11" max="11" width="9.1796875" style="2"/>
    <col min="12" max="13" width="12.1796875" customWidth="1"/>
    <col min="16" max="16" width="12.26953125" customWidth="1"/>
    <col min="17" max="17" width="11.453125" style="3" customWidth="1"/>
    <col min="20" max="20" width="12.453125" customWidth="1"/>
    <col min="21" max="21" width="11.453125" customWidth="1"/>
    <col min="22" max="22" width="11.453125" style="3" customWidth="1"/>
    <col min="23" max="23" width="12.26953125" customWidth="1"/>
    <col min="24" max="24" width="12.26953125" style="3" customWidth="1"/>
    <col min="25" max="26" width="12.26953125" customWidth="1"/>
    <col min="27" max="27" width="11.26953125" customWidth="1"/>
    <col min="29" max="30" width="9.1796875" customWidth="1"/>
    <col min="31" max="31" width="10.453125" customWidth="1"/>
    <col min="32" max="32" width="10.81640625" customWidth="1"/>
    <col min="35" max="35" width="14.453125" customWidth="1"/>
    <col min="36" max="36" width="13.7265625" customWidth="1"/>
  </cols>
  <sheetData>
    <row r="1" spans="1:36">
      <c r="A1" s="1" t="s">
        <v>0</v>
      </c>
    </row>
    <row r="3" spans="1:36" s="4" customFormat="1" ht="27.75" customHeight="1">
      <c r="A3" s="4" t="s">
        <v>1</v>
      </c>
      <c r="H3" s="4" t="s">
        <v>2</v>
      </c>
      <c r="I3" s="5"/>
      <c r="J3" s="6"/>
      <c r="K3" s="5"/>
      <c r="P3" s="4" t="s">
        <v>3</v>
      </c>
      <c r="Q3" s="6" t="s">
        <v>4</v>
      </c>
      <c r="R3" s="4" t="s">
        <v>5</v>
      </c>
      <c r="S3" s="4" t="s">
        <v>4</v>
      </c>
      <c r="U3" s="4" t="s">
        <v>6</v>
      </c>
      <c r="V3" s="6" t="s">
        <v>4</v>
      </c>
      <c r="W3" s="4" t="s">
        <v>7</v>
      </c>
      <c r="X3" s="6" t="s">
        <v>4</v>
      </c>
      <c r="Y3" s="4" t="s">
        <v>8</v>
      </c>
      <c r="Z3" s="4" t="s">
        <v>9</v>
      </c>
      <c r="AA3" s="4" t="s">
        <v>10</v>
      </c>
      <c r="AB3" s="4" t="s">
        <v>4</v>
      </c>
      <c r="AC3" s="4" t="s">
        <v>11</v>
      </c>
      <c r="AD3" s="4" t="s">
        <v>4</v>
      </c>
      <c r="AF3" s="4" t="s">
        <v>12</v>
      </c>
      <c r="AG3" s="4" t="s">
        <v>4</v>
      </c>
      <c r="AI3" s="4" t="s">
        <v>13</v>
      </c>
      <c r="AJ3" s="4" t="s">
        <v>14</v>
      </c>
    </row>
    <row r="4" spans="1:36" s="7" customFormat="1" ht="28.5" customHeight="1">
      <c r="G4" s="7" t="s">
        <v>15</v>
      </c>
      <c r="H4" s="7" t="s">
        <v>16</v>
      </c>
      <c r="I4" s="8" t="s">
        <v>17</v>
      </c>
      <c r="J4" s="9" t="s">
        <v>18</v>
      </c>
      <c r="K4" s="8" t="s">
        <v>19</v>
      </c>
      <c r="L4" s="7" t="s">
        <v>20</v>
      </c>
      <c r="Q4" s="9" t="s">
        <v>21</v>
      </c>
      <c r="S4" s="9" t="s">
        <v>21</v>
      </c>
      <c r="T4" s="7" t="s">
        <v>22</v>
      </c>
      <c r="U4" s="7" t="s">
        <v>23</v>
      </c>
      <c r="V4" s="7" t="s">
        <v>24</v>
      </c>
      <c r="X4" s="9" t="s">
        <v>21</v>
      </c>
      <c r="Y4" s="7" t="s">
        <v>23</v>
      </c>
      <c r="Z4" s="7" t="s">
        <v>24</v>
      </c>
      <c r="AB4" s="9" t="s">
        <v>21</v>
      </c>
      <c r="AD4" s="9" t="s">
        <v>21</v>
      </c>
      <c r="AE4" s="7" t="s">
        <v>15</v>
      </c>
      <c r="AF4" s="7" t="s">
        <v>23</v>
      </c>
      <c r="AG4" s="7" t="s">
        <v>24</v>
      </c>
    </row>
    <row r="5" spans="1:36">
      <c r="A5" s="1" t="s">
        <v>25</v>
      </c>
      <c r="H5">
        <v>0</v>
      </c>
      <c r="P5">
        <v>3.0000000000000001E-3</v>
      </c>
      <c r="R5">
        <v>2</v>
      </c>
      <c r="U5">
        <v>50</v>
      </c>
      <c r="W5">
        <v>0.5</v>
      </c>
      <c r="AA5">
        <v>0.02</v>
      </c>
      <c r="AC5">
        <v>1.5</v>
      </c>
      <c r="AF5">
        <v>0.25</v>
      </c>
    </row>
    <row r="7" spans="1:36" s="1" customForma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I7" s="10"/>
      <c r="J7" s="11"/>
      <c r="K7" s="10"/>
      <c r="L7"/>
      <c r="M7"/>
      <c r="O7" s="1" t="s">
        <v>32</v>
      </c>
      <c r="Q7" s="11"/>
      <c r="V7" s="11"/>
      <c r="X7" s="11"/>
    </row>
    <row r="8" spans="1:36">
      <c r="D8" t="s">
        <v>33</v>
      </c>
      <c r="E8" s="1" t="s">
        <v>34</v>
      </c>
      <c r="F8" s="1" t="s">
        <v>34</v>
      </c>
      <c r="O8" s="1" t="s">
        <v>34</v>
      </c>
    </row>
    <row r="9" spans="1:36">
      <c r="A9" s="1" t="s">
        <v>35</v>
      </c>
      <c r="AI9" s="3"/>
    </row>
    <row r="10" spans="1:36">
      <c r="A10" t="s">
        <v>36</v>
      </c>
      <c r="B10" t="s">
        <v>37</v>
      </c>
      <c r="C10" t="s">
        <v>38</v>
      </c>
      <c r="D10">
        <v>378</v>
      </c>
      <c r="E10" t="str">
        <f t="shared" ref="E10:E20" si="0">IF(AND(F10=1,O10&lt;=5),1,"")</f>
        <v/>
      </c>
      <c r="F10" t="str">
        <f t="shared" ref="F10:F65" si="1">IF(I10&gt;0,1,"")</f>
        <v/>
      </c>
      <c r="O10">
        <f>IF(SUM(P10:AF10)&gt;0,1,"")</f>
        <v>1</v>
      </c>
      <c r="W10">
        <v>2.6</v>
      </c>
      <c r="X10" s="3">
        <f>$D10*MAX(0, (W10/W$5-1))</f>
        <v>1587.6000000000001</v>
      </c>
      <c r="AI10" s="3">
        <f>IF(O10&gt;0,SUM(Q10+S10+V10+X10+AB10+AD10+AG10))</f>
        <v>1587.6000000000001</v>
      </c>
    </row>
    <row r="11" spans="1:36">
      <c r="A11" t="s">
        <v>36</v>
      </c>
      <c r="B11" t="s">
        <v>37</v>
      </c>
      <c r="C11" t="s">
        <v>39</v>
      </c>
      <c r="D11">
        <v>503</v>
      </c>
      <c r="E11" t="str">
        <f t="shared" si="0"/>
        <v/>
      </c>
      <c r="F11" t="str">
        <f t="shared" si="1"/>
        <v/>
      </c>
      <c r="O11">
        <f>IF(SUM(P11:AF11)&gt;0,1,"")</f>
        <v>1</v>
      </c>
      <c r="W11">
        <v>1.9</v>
      </c>
      <c r="X11" s="3">
        <f>$D11*MAX(0, (W11/W$5-1))</f>
        <v>1408.3999999999999</v>
      </c>
      <c r="AI11" s="3">
        <f t="shared" ref="AI11:AI19" si="2">IF(O11&gt;0,SUM(Q11+S11+V11+X11+AB11+AD11+AG11))</f>
        <v>1408.3999999999999</v>
      </c>
    </row>
    <row r="12" spans="1:36">
      <c r="A12" t="s">
        <v>36</v>
      </c>
      <c r="B12" t="s">
        <v>40</v>
      </c>
      <c r="C12" t="s">
        <v>41</v>
      </c>
      <c r="D12">
        <v>531</v>
      </c>
      <c r="E12" t="str">
        <f t="shared" si="0"/>
        <v/>
      </c>
      <c r="F12" t="str">
        <f t="shared" si="1"/>
        <v/>
      </c>
      <c r="O12">
        <f t="shared" ref="O12:O65" si="3">IF(SUM(P12:AF12)&gt;0,1,"")</f>
        <v>1</v>
      </c>
      <c r="P12">
        <v>8.0000000000000002E-3</v>
      </c>
      <c r="Q12" s="3">
        <f>$D12*MAX(0, (P12/P$5-1))</f>
        <v>884.99999999999989</v>
      </c>
      <c r="AI12" s="3">
        <f t="shared" si="2"/>
        <v>884.99999999999989</v>
      </c>
    </row>
    <row r="13" spans="1:36">
      <c r="A13" t="s">
        <v>36</v>
      </c>
      <c r="B13" t="s">
        <v>40</v>
      </c>
      <c r="C13" t="s">
        <v>42</v>
      </c>
      <c r="D13">
        <v>74</v>
      </c>
      <c r="E13">
        <f t="shared" si="0"/>
        <v>1</v>
      </c>
      <c r="F13">
        <f t="shared" si="1"/>
        <v>1</v>
      </c>
      <c r="G13">
        <v>50</v>
      </c>
      <c r="H13">
        <v>1</v>
      </c>
      <c r="I13" s="2">
        <f>H13/G13</f>
        <v>0.02</v>
      </c>
      <c r="J13" s="3">
        <f>D13*I13</f>
        <v>1.48</v>
      </c>
      <c r="L13">
        <f>_xlfn.RANK.EQ(J13,J$13:J$66)</f>
        <v>12</v>
      </c>
      <c r="O13">
        <f t="shared" si="3"/>
        <v>1</v>
      </c>
      <c r="R13">
        <v>10</v>
      </c>
      <c r="S13" s="3">
        <f>$D13*MAX(0, (R13/R$5-1))</f>
        <v>296</v>
      </c>
      <c r="AI13" s="3">
        <f t="shared" si="2"/>
        <v>296</v>
      </c>
    </row>
    <row r="14" spans="1:36">
      <c r="A14" t="s">
        <v>36</v>
      </c>
      <c r="B14" t="s">
        <v>40</v>
      </c>
      <c r="C14" t="s">
        <v>43</v>
      </c>
      <c r="D14">
        <v>618</v>
      </c>
      <c r="E14" t="str">
        <f t="shared" si="0"/>
        <v/>
      </c>
      <c r="F14" t="str">
        <f t="shared" si="1"/>
        <v/>
      </c>
      <c r="O14">
        <f t="shared" si="3"/>
        <v>1</v>
      </c>
      <c r="W14">
        <v>0.6</v>
      </c>
      <c r="X14" s="3">
        <f>$D14*MAX(0, (W14/W$5-1))</f>
        <v>123.59999999999997</v>
      </c>
      <c r="AI14" s="3">
        <f t="shared" si="2"/>
        <v>123.59999999999997</v>
      </c>
    </row>
    <row r="15" spans="1:36">
      <c r="A15" t="s">
        <v>36</v>
      </c>
      <c r="B15" t="s">
        <v>44</v>
      </c>
      <c r="C15" t="s">
        <v>45</v>
      </c>
      <c r="D15">
        <v>301</v>
      </c>
      <c r="E15" t="str">
        <f t="shared" si="0"/>
        <v/>
      </c>
      <c r="F15" t="str">
        <f t="shared" si="1"/>
        <v/>
      </c>
      <c r="O15">
        <f t="shared" si="3"/>
        <v>1</v>
      </c>
      <c r="AA15">
        <v>2.5000000000000001E-2</v>
      </c>
      <c r="AB15" s="3">
        <f>$D15*MAX(0, (AA15/AA$5-1))</f>
        <v>75.25</v>
      </c>
      <c r="AI15" s="3">
        <f t="shared" si="2"/>
        <v>75.25</v>
      </c>
    </row>
    <row r="16" spans="1:36">
      <c r="A16" t="s">
        <v>36</v>
      </c>
      <c r="B16" t="s">
        <v>44</v>
      </c>
      <c r="C16" t="s">
        <v>47</v>
      </c>
      <c r="D16">
        <v>420</v>
      </c>
      <c r="E16" t="str">
        <f t="shared" si="0"/>
        <v/>
      </c>
      <c r="F16" t="str">
        <f t="shared" si="1"/>
        <v/>
      </c>
      <c r="O16">
        <f t="shared" si="3"/>
        <v>1</v>
      </c>
      <c r="AC16">
        <v>1.7</v>
      </c>
      <c r="AD16" s="3">
        <f>$D16*MAX(0, (AC16/AC$5-1))</f>
        <v>55.999999999999986</v>
      </c>
      <c r="AI16" s="3">
        <f t="shared" si="2"/>
        <v>55.999999999999986</v>
      </c>
    </row>
    <row r="17" spans="1:37">
      <c r="A17" t="s">
        <v>36</v>
      </c>
      <c r="B17" t="s">
        <v>48</v>
      </c>
      <c r="C17" t="s">
        <v>49</v>
      </c>
      <c r="D17">
        <v>239</v>
      </c>
      <c r="E17" t="str">
        <f t="shared" si="0"/>
        <v/>
      </c>
      <c r="F17" t="str">
        <f t="shared" si="1"/>
        <v/>
      </c>
      <c r="O17">
        <f t="shared" si="3"/>
        <v>1</v>
      </c>
      <c r="AA17">
        <v>4.8000000000000001E-2</v>
      </c>
      <c r="AB17" s="3">
        <f>$D17*MAX(0, (AA17/AA$5-1))</f>
        <v>334.59999999999997</v>
      </c>
      <c r="AI17" s="3">
        <f t="shared" si="2"/>
        <v>334.59999999999997</v>
      </c>
    </row>
    <row r="18" spans="1:37">
      <c r="A18" t="s">
        <v>36</v>
      </c>
      <c r="B18" t="s">
        <v>48</v>
      </c>
      <c r="C18" t="s">
        <v>50</v>
      </c>
      <c r="D18">
        <v>236</v>
      </c>
      <c r="E18" t="str">
        <f t="shared" si="0"/>
        <v/>
      </c>
      <c r="F18" t="str">
        <f t="shared" si="1"/>
        <v/>
      </c>
      <c r="O18">
        <f t="shared" si="3"/>
        <v>1</v>
      </c>
      <c r="AC18">
        <v>1.9</v>
      </c>
      <c r="AD18" s="3">
        <f>$D18*MAX(0, (AC18/AC$5-1))</f>
        <v>62.933333333333323</v>
      </c>
      <c r="AI18" s="3">
        <f t="shared" si="2"/>
        <v>62.933333333333323</v>
      </c>
    </row>
    <row r="19" spans="1:37">
      <c r="A19" t="s">
        <v>36</v>
      </c>
      <c r="B19" t="s">
        <v>48</v>
      </c>
      <c r="C19" t="s">
        <v>51</v>
      </c>
      <c r="D19">
        <v>220</v>
      </c>
      <c r="E19" t="str">
        <f t="shared" si="0"/>
        <v/>
      </c>
      <c r="F19" t="str">
        <f t="shared" si="1"/>
        <v/>
      </c>
      <c r="O19">
        <f t="shared" si="3"/>
        <v>1</v>
      </c>
      <c r="AC19">
        <v>1.9</v>
      </c>
      <c r="AD19" s="3">
        <f>$D19*MAX(0, (AC19/AC$5-1))</f>
        <v>58.666666666666657</v>
      </c>
      <c r="AI19" s="3">
        <f t="shared" si="2"/>
        <v>58.666666666666657</v>
      </c>
    </row>
    <row r="20" spans="1:37" s="1" customFormat="1">
      <c r="A20" s="1" t="s">
        <v>54</v>
      </c>
      <c r="B20" s="1" t="s">
        <v>55</v>
      </c>
      <c r="C20" s="1">
        <v>32017</v>
      </c>
      <c r="D20" s="1">
        <f>SUM(D10:D19)</f>
        <v>3520</v>
      </c>
      <c r="E20" s="1" t="str">
        <f t="shared" si="0"/>
        <v/>
      </c>
      <c r="F20" s="1">
        <f>SUMIF(F10:F19,"&gt;0", D10:D19)</f>
        <v>74</v>
      </c>
      <c r="I20" s="10"/>
      <c r="J20" s="11">
        <f>SUM(J10:J19)</f>
        <v>1.48</v>
      </c>
      <c r="K20" s="10">
        <f>J20/F20</f>
        <v>0.02</v>
      </c>
      <c r="O20" s="1" t="str">
        <f t="shared" si="3"/>
        <v/>
      </c>
      <c r="Q20" s="11"/>
      <c r="V20" s="11"/>
      <c r="X20" s="11"/>
      <c r="AI20" s="11">
        <f>SUM(AI10:AI19)</f>
        <v>4888.0500000000011</v>
      </c>
      <c r="AJ20" s="1">
        <f>SUM(AJ10:AJ19)</f>
        <v>0</v>
      </c>
      <c r="AK20"/>
    </row>
    <row r="21" spans="1:37" s="1" customFormat="1">
      <c r="B21" s="1" t="s">
        <v>56</v>
      </c>
      <c r="C21" s="10">
        <f>D20/C20</f>
        <v>0.10994159352843802</v>
      </c>
      <c r="E21" s="1" t="s">
        <v>57</v>
      </c>
      <c r="F21" s="10">
        <f>F20/C20</f>
        <v>2.31127213667739E-3</v>
      </c>
      <c r="I21" s="10"/>
      <c r="J21" s="11"/>
      <c r="K21" s="10"/>
      <c r="Q21" s="11"/>
      <c r="V21" s="11"/>
      <c r="X21" s="11"/>
      <c r="AH21" s="1" t="s">
        <v>58</v>
      </c>
      <c r="AI21" s="11">
        <f>AI20/SUMIF(AI10:AI19,"&gt;0",D10:D19)</f>
        <v>1.3886505681818184</v>
      </c>
    </row>
    <row r="22" spans="1:37">
      <c r="A22" s="1" t="s">
        <v>59</v>
      </c>
      <c r="E22" t="str">
        <f t="shared" ref="E22:E30" si="4">IF(AND(F22=1,O22&lt;=5),1,"")</f>
        <v/>
      </c>
      <c r="F22" t="str">
        <f t="shared" si="1"/>
        <v/>
      </c>
      <c r="O22" t="str">
        <f t="shared" si="3"/>
        <v/>
      </c>
    </row>
    <row r="23" spans="1:37">
      <c r="A23" t="s">
        <v>60</v>
      </c>
      <c r="C23" t="s">
        <v>61</v>
      </c>
      <c r="D23">
        <v>1269</v>
      </c>
      <c r="E23">
        <f t="shared" si="4"/>
        <v>1</v>
      </c>
      <c r="F23">
        <f>IF(I23&gt;0,1,"")</f>
        <v>1</v>
      </c>
      <c r="G23">
        <v>199</v>
      </c>
      <c r="H23">
        <v>1</v>
      </c>
      <c r="I23" s="2">
        <f>H23/G23</f>
        <v>5.0251256281407036E-3</v>
      </c>
      <c r="J23" s="3">
        <f>D23*I23</f>
        <v>6.3768844221105532</v>
      </c>
      <c r="L23">
        <f>_xlfn.RANK.EQ(J23,J$13:J$66)</f>
        <v>6</v>
      </c>
      <c r="O23">
        <v>1</v>
      </c>
      <c r="AE23">
        <v>32</v>
      </c>
      <c r="AF23">
        <v>28</v>
      </c>
      <c r="AG23" s="3">
        <f>$D23*AF23/AE23</f>
        <v>1110.375</v>
      </c>
      <c r="AJ23" s="3">
        <f>IF(O23&gt;0,SUM(Q23+S23+V23+X23+AB23+AD23+AG23))</f>
        <v>1110.375</v>
      </c>
    </row>
    <row r="24" spans="1:37">
      <c r="A24" t="s">
        <v>62</v>
      </c>
      <c r="C24" t="s">
        <v>63</v>
      </c>
      <c r="D24">
        <v>328</v>
      </c>
      <c r="E24" t="str">
        <f t="shared" si="4"/>
        <v/>
      </c>
      <c r="F24">
        <f t="shared" si="1"/>
        <v>1</v>
      </c>
      <c r="G24">
        <v>33</v>
      </c>
      <c r="H24">
        <v>5</v>
      </c>
      <c r="I24" s="2">
        <f t="shared" ref="I24:I25" si="5">H24/G24</f>
        <v>0.15151515151515152</v>
      </c>
      <c r="J24" s="3">
        <f>D24*I24</f>
        <v>49.696969696969695</v>
      </c>
      <c r="L24">
        <f>_xlfn.RANK.EQ(J24,J$13:J$66)</f>
        <v>3</v>
      </c>
      <c r="O24" t="str">
        <f t="shared" si="3"/>
        <v/>
      </c>
    </row>
    <row r="25" spans="1:37">
      <c r="A25" t="s">
        <v>64</v>
      </c>
      <c r="C25" t="s">
        <v>65</v>
      </c>
      <c r="D25">
        <v>962</v>
      </c>
      <c r="E25" t="str">
        <f t="shared" si="4"/>
        <v/>
      </c>
      <c r="F25">
        <f t="shared" si="1"/>
        <v>1</v>
      </c>
      <c r="G25">
        <v>9</v>
      </c>
      <c r="H25">
        <v>1</v>
      </c>
      <c r="I25" s="2">
        <f t="shared" si="5"/>
        <v>0.1111111111111111</v>
      </c>
      <c r="J25" s="3">
        <f>D25*I25</f>
        <v>106.88888888888889</v>
      </c>
      <c r="L25">
        <f>_xlfn.RANK.EQ(J25,J$13:J$66)</f>
        <v>2</v>
      </c>
      <c r="O25" t="str">
        <f t="shared" si="3"/>
        <v/>
      </c>
      <c r="AG25" s="3"/>
      <c r="AJ25" s="3"/>
    </row>
    <row r="26" spans="1:37">
      <c r="A26" t="s">
        <v>66</v>
      </c>
      <c r="C26" t="s">
        <v>67</v>
      </c>
      <c r="D26">
        <v>561</v>
      </c>
      <c r="E26" t="str">
        <f t="shared" si="4"/>
        <v/>
      </c>
      <c r="F26" t="str">
        <f t="shared" si="1"/>
        <v/>
      </c>
      <c r="O26">
        <f t="shared" si="3"/>
        <v>1</v>
      </c>
      <c r="AE26">
        <v>52</v>
      </c>
      <c r="AF26">
        <v>10</v>
      </c>
      <c r="AG26" s="3">
        <f>$D26*AF26/AE26</f>
        <v>107.88461538461539</v>
      </c>
      <c r="AJ26" s="3">
        <f>IF(O26&gt;0,SUM(Q26+S26+V26+X26+AB26+AD26+AG26))</f>
        <v>107.88461538461539</v>
      </c>
    </row>
    <row r="27" spans="1:37">
      <c r="A27" t="s">
        <v>66</v>
      </c>
      <c r="C27" t="s">
        <v>68</v>
      </c>
      <c r="D27">
        <v>427</v>
      </c>
      <c r="E27" t="str">
        <f t="shared" si="4"/>
        <v/>
      </c>
      <c r="F27" t="str">
        <f t="shared" si="1"/>
        <v/>
      </c>
      <c r="O27">
        <f t="shared" si="3"/>
        <v>1</v>
      </c>
      <c r="AE27">
        <v>52</v>
      </c>
      <c r="AF27">
        <v>12</v>
      </c>
      <c r="AG27" s="3">
        <f t="shared" ref="AG27:AG29" si="6">$D27*AF27/AE27</f>
        <v>98.538461538461533</v>
      </c>
      <c r="AJ27" s="3">
        <f>IF(O27&gt;0,SUM(Q27+S27+V27+X27+AB27+AD27+AG27))</f>
        <v>98.538461538461533</v>
      </c>
    </row>
    <row r="28" spans="1:37">
      <c r="A28" t="s">
        <v>66</v>
      </c>
      <c r="C28" t="s">
        <v>69</v>
      </c>
      <c r="D28">
        <v>260</v>
      </c>
      <c r="E28" t="str">
        <f t="shared" si="4"/>
        <v/>
      </c>
      <c r="F28" t="str">
        <f t="shared" si="1"/>
        <v/>
      </c>
      <c r="O28">
        <f t="shared" si="3"/>
        <v>1</v>
      </c>
      <c r="AE28">
        <v>52</v>
      </c>
      <c r="AF28">
        <v>12</v>
      </c>
      <c r="AG28" s="3">
        <f t="shared" si="6"/>
        <v>60</v>
      </c>
      <c r="AJ28" s="3">
        <f>IF(O28&gt;0,SUM(Q28+S28+V28+X28+AB28+AD28+AG28))</f>
        <v>60</v>
      </c>
    </row>
    <row r="29" spans="1:37">
      <c r="A29" t="s">
        <v>66</v>
      </c>
      <c r="C29" t="s">
        <v>70</v>
      </c>
      <c r="D29">
        <v>361</v>
      </c>
      <c r="E29" t="str">
        <f t="shared" si="4"/>
        <v/>
      </c>
      <c r="F29" t="str">
        <f t="shared" si="1"/>
        <v/>
      </c>
      <c r="O29">
        <f t="shared" si="3"/>
        <v>1</v>
      </c>
      <c r="AE29">
        <v>52</v>
      </c>
      <c r="AF29">
        <v>12</v>
      </c>
      <c r="AG29" s="3">
        <f t="shared" si="6"/>
        <v>83.307692307692307</v>
      </c>
      <c r="AJ29" s="3">
        <f>IF(O29&gt;0,SUM(Q29+S29+V29+X29+AB29+AD29+AG29))</f>
        <v>83.307692307692307</v>
      </c>
    </row>
    <row r="30" spans="1:37" s="1" customFormat="1">
      <c r="A30" s="1" t="s">
        <v>71</v>
      </c>
      <c r="B30" s="1" t="s">
        <v>55</v>
      </c>
      <c r="C30" s="1">
        <v>5210</v>
      </c>
      <c r="D30" s="1">
        <f>SUM(D23:D29)</f>
        <v>4168</v>
      </c>
      <c r="E30" s="1" t="str">
        <f t="shared" si="4"/>
        <v/>
      </c>
      <c r="F30" s="1">
        <f>SUMIF(F23:F29,"&gt;0", D23:D29)</f>
        <v>2559</v>
      </c>
      <c r="I30" s="10"/>
      <c r="J30" s="11">
        <f>SUM(J23:J29)</f>
        <v>162.96274300796915</v>
      </c>
      <c r="K30" s="10">
        <f>J30/F30</f>
        <v>6.3682197345826169E-2</v>
      </c>
      <c r="O30" s="1" t="str">
        <f t="shared" si="3"/>
        <v/>
      </c>
      <c r="Q30" s="11"/>
      <c r="V30" s="11"/>
      <c r="X30" s="11"/>
      <c r="AI30" s="1">
        <f>SUM(AI24:AI29)</f>
        <v>0</v>
      </c>
      <c r="AJ30" s="11">
        <f>SUM(AJ23:AJ29)</f>
        <v>1460.1057692307693</v>
      </c>
    </row>
    <row r="31" spans="1:37">
      <c r="B31" s="1" t="s">
        <v>56</v>
      </c>
      <c r="C31" s="10">
        <f>D30/C30</f>
        <v>0.8</v>
      </c>
      <c r="E31" s="1" t="s">
        <v>57</v>
      </c>
      <c r="F31" s="10">
        <f>F30/C30</f>
        <v>0.49117082533589251</v>
      </c>
      <c r="O31" t="str">
        <f t="shared" si="3"/>
        <v/>
      </c>
      <c r="AH31" s="1" t="s">
        <v>72</v>
      </c>
      <c r="AJ31" s="11">
        <f>AJ30/SUMIF(AJ23:AJ29, "&gt;0", D23:D29)</f>
        <v>0.50733348479178919</v>
      </c>
    </row>
    <row r="32" spans="1:37">
      <c r="A32" s="1" t="s">
        <v>73</v>
      </c>
      <c r="E32" t="str">
        <f>IF(AND(F32=1,O32&lt;=5),1,"")</f>
        <v/>
      </c>
      <c r="F32" t="str">
        <f t="shared" si="1"/>
        <v/>
      </c>
      <c r="H32" t="s">
        <v>74</v>
      </c>
      <c r="O32" t="str">
        <f t="shared" si="3"/>
        <v/>
      </c>
      <c r="AI32" s="3"/>
    </row>
    <row r="33" spans="1:36">
      <c r="A33" t="s">
        <v>75</v>
      </c>
      <c r="C33" t="s">
        <v>76</v>
      </c>
      <c r="D33">
        <v>35</v>
      </c>
      <c r="O33">
        <f t="shared" si="3"/>
        <v>1</v>
      </c>
      <c r="AC33">
        <v>1.6</v>
      </c>
      <c r="AD33" s="3">
        <f>$D33*MAX(0, (AC33/AC$5-1))</f>
        <v>2.333333333333333</v>
      </c>
      <c r="AI33" s="3">
        <f>IF(O33&gt;0,SUM(Q33+S33+V33+X33+Z33+AB33+AD33+AG33))</f>
        <v>2.333333333333333</v>
      </c>
    </row>
    <row r="34" spans="1:36">
      <c r="A34" t="s">
        <v>75</v>
      </c>
      <c r="C34" t="s">
        <v>77</v>
      </c>
      <c r="D34">
        <v>53</v>
      </c>
      <c r="E34" t="str">
        <f>IF(AND(F34=1,O34&lt;=5),1,"")</f>
        <v/>
      </c>
      <c r="F34" t="str">
        <f t="shared" si="1"/>
        <v/>
      </c>
      <c r="O34">
        <f t="shared" si="3"/>
        <v>1</v>
      </c>
      <c r="AC34">
        <v>3.1</v>
      </c>
      <c r="AD34" s="3">
        <f>$D34*MAX(0, (AC34/AC$5-1))</f>
        <v>56.533333333333346</v>
      </c>
      <c r="AI34" s="3">
        <f>IF(O34&gt;0,SUM(Q34+S34+V34+X34+Z34+AB34+AD34+AG34))</f>
        <v>56.533333333333346</v>
      </c>
    </row>
    <row r="35" spans="1:36">
      <c r="A35" t="s">
        <v>75</v>
      </c>
      <c r="C35" t="s">
        <v>78</v>
      </c>
      <c r="D35">
        <v>37</v>
      </c>
      <c r="E35" t="str">
        <f>IF(AND(F35=1,O35&lt;=5),1,"")</f>
        <v/>
      </c>
      <c r="F35" t="str">
        <f t="shared" si="1"/>
        <v/>
      </c>
      <c r="O35">
        <f t="shared" si="3"/>
        <v>1</v>
      </c>
      <c r="AC35">
        <v>2</v>
      </c>
      <c r="AD35" s="3">
        <f>$D35*MAX(0, (AC35/AC$5-1))</f>
        <v>12.33333333333333</v>
      </c>
      <c r="AI35" s="3">
        <f>IF(O35&gt;0,SUM(Q35+S35+V35+X35+Z35+AB35+AD35+AG35))</f>
        <v>12.33333333333333</v>
      </c>
    </row>
    <row r="36" spans="1:36" s="1" customFormat="1">
      <c r="A36" s="1" t="s">
        <v>79</v>
      </c>
      <c r="B36" s="1" t="s">
        <v>55</v>
      </c>
      <c r="C36" s="1">
        <v>2094</v>
      </c>
      <c r="D36" s="1">
        <f>SUM(D33:D35)</f>
        <v>125</v>
      </c>
      <c r="E36" s="1" t="str">
        <f>IF(AND(F36=1,O36&lt;=5),1,"")</f>
        <v/>
      </c>
      <c r="F36" s="1">
        <f>SUMIF(F34:F35,"&gt;0", D34:D35)</f>
        <v>0</v>
      </c>
      <c r="I36" s="10"/>
      <c r="J36" s="11">
        <f>SUM(J34:J35)</f>
        <v>0</v>
      </c>
      <c r="K36" s="10">
        <f>J36</f>
        <v>0</v>
      </c>
      <c r="O36" s="1" t="str">
        <f t="shared" si="3"/>
        <v/>
      </c>
      <c r="Q36" s="11"/>
      <c r="V36" s="11"/>
      <c r="X36" s="11"/>
      <c r="AI36" s="11">
        <f>SUM(AI33:AI35)</f>
        <v>71.200000000000017</v>
      </c>
      <c r="AJ36" s="1">
        <f>SUM(AJ34:AJ35)</f>
        <v>0</v>
      </c>
    </row>
    <row r="37" spans="1:36" s="1" customFormat="1">
      <c r="B37" s="1" t="s">
        <v>56</v>
      </c>
      <c r="C37" s="10">
        <f>D36/C36</f>
        <v>5.9694364851957976E-2</v>
      </c>
      <c r="E37" s="1" t="s">
        <v>57</v>
      </c>
      <c r="F37" s="1">
        <f>F36/C36</f>
        <v>0</v>
      </c>
      <c r="I37" s="10"/>
      <c r="J37" s="11"/>
      <c r="K37" s="10"/>
      <c r="Q37" s="11"/>
      <c r="V37" s="11"/>
      <c r="X37" s="11"/>
      <c r="AH37" s="1" t="s">
        <v>58</v>
      </c>
      <c r="AI37" s="11">
        <f>AI36/SUMIF(AI34:AI35, "&gt;0", D34:D35)</f>
        <v>0.79111111111111132</v>
      </c>
    </row>
    <row r="38" spans="1:36">
      <c r="A38" s="1" t="s">
        <v>80</v>
      </c>
      <c r="E38" t="str">
        <f t="shared" ref="E38:E65" si="7">IF(AND(F38=1,O38&lt;=5),1,"")</f>
        <v/>
      </c>
      <c r="F38" t="str">
        <f t="shared" si="1"/>
        <v/>
      </c>
      <c r="G38" s="1" t="s">
        <v>81</v>
      </c>
      <c r="O38" t="str">
        <f t="shared" si="3"/>
        <v/>
      </c>
      <c r="R38" t="s">
        <v>82</v>
      </c>
    </row>
    <row r="39" spans="1:36">
      <c r="A39" t="s">
        <v>83</v>
      </c>
      <c r="C39" t="s">
        <v>84</v>
      </c>
      <c r="D39">
        <v>176</v>
      </c>
      <c r="E39" t="str">
        <f t="shared" si="7"/>
        <v/>
      </c>
      <c r="F39" t="str">
        <f t="shared" si="1"/>
        <v/>
      </c>
      <c r="O39">
        <f t="shared" si="3"/>
        <v>1</v>
      </c>
      <c r="T39">
        <v>24</v>
      </c>
      <c r="U39">
        <v>9</v>
      </c>
      <c r="V39" s="3">
        <f>D39*U39/T39</f>
        <v>66</v>
      </c>
      <c r="Z39" s="3"/>
      <c r="AJ39" s="3">
        <f>IF(O39&gt;0,SUM(Q39+S39+V39+X39+Z39+AB39+AD39+AG39)," ")</f>
        <v>66</v>
      </c>
    </row>
    <row r="40" spans="1:36">
      <c r="A40" t="s">
        <v>83</v>
      </c>
      <c r="C40" t="s">
        <v>85</v>
      </c>
      <c r="D40">
        <v>16</v>
      </c>
      <c r="E40" t="str">
        <f t="shared" si="7"/>
        <v/>
      </c>
      <c r="F40">
        <f t="shared" si="1"/>
        <v>1</v>
      </c>
      <c r="G40">
        <v>24</v>
      </c>
      <c r="H40">
        <v>2</v>
      </c>
      <c r="I40" s="2">
        <f t="shared" ref="I40:I65" si="8">H40/G40</f>
        <v>8.3333333333333329E-2</v>
      </c>
      <c r="J40" s="3">
        <f>D40*I40</f>
        <v>1.3333333333333333</v>
      </c>
      <c r="L40">
        <f>_xlfn.RANK.EQ(J40,J$13:J$66)</f>
        <v>15</v>
      </c>
      <c r="O40" t="str">
        <f t="shared" si="3"/>
        <v/>
      </c>
      <c r="Z40" s="3"/>
      <c r="AJ40" s="3">
        <f t="shared" ref="AJ40:AJ65" si="9">IF(O40&gt;0,SUM(Q40+S40+V40+X40+Z40+AB40+AD40+AG40)," ")</f>
        <v>0</v>
      </c>
    </row>
    <row r="41" spans="1:36">
      <c r="A41" t="s">
        <v>83</v>
      </c>
      <c r="C41" t="s">
        <v>86</v>
      </c>
      <c r="D41">
        <v>125</v>
      </c>
      <c r="E41" t="str">
        <f t="shared" si="7"/>
        <v/>
      </c>
      <c r="O41">
        <f t="shared" si="3"/>
        <v>1</v>
      </c>
      <c r="T41">
        <v>24</v>
      </c>
      <c r="U41">
        <v>23</v>
      </c>
      <c r="V41" s="3">
        <f>D41*U41/T41</f>
        <v>119.79166666666667</v>
      </c>
      <c r="Y41">
        <v>5</v>
      </c>
      <c r="Z41" s="3">
        <f>D41*Y41/12</f>
        <v>52.083333333333336</v>
      </c>
      <c r="AJ41" s="3">
        <f>IF(O41&gt;0,SUM(Q41+S41+V41+X41+Z41+AB41+AD41+AG41)," ")-V41*Z41/D41</f>
        <v>121.96180555555556</v>
      </c>
    </row>
    <row r="42" spans="1:36">
      <c r="A42" t="s">
        <v>83</v>
      </c>
      <c r="C42" t="s">
        <v>87</v>
      </c>
      <c r="D42">
        <v>57</v>
      </c>
      <c r="E42" t="str">
        <f t="shared" si="7"/>
        <v/>
      </c>
      <c r="F42" t="str">
        <f t="shared" si="1"/>
        <v/>
      </c>
      <c r="O42">
        <f t="shared" si="3"/>
        <v>1</v>
      </c>
      <c r="T42">
        <v>24</v>
      </c>
      <c r="U42">
        <v>1</v>
      </c>
      <c r="V42" s="3">
        <f>D42*U42/T42</f>
        <v>2.375</v>
      </c>
      <c r="Z42" s="3"/>
      <c r="AJ42" s="3">
        <f t="shared" si="9"/>
        <v>2.375</v>
      </c>
    </row>
    <row r="43" spans="1:36">
      <c r="A43" t="s">
        <v>83</v>
      </c>
      <c r="C43" t="s">
        <v>88</v>
      </c>
      <c r="D43">
        <v>113</v>
      </c>
      <c r="E43" t="str">
        <f t="shared" si="7"/>
        <v/>
      </c>
      <c r="F43" t="str">
        <f t="shared" si="1"/>
        <v/>
      </c>
      <c r="O43">
        <f t="shared" si="3"/>
        <v>1</v>
      </c>
      <c r="T43">
        <v>29</v>
      </c>
      <c r="U43">
        <v>29</v>
      </c>
      <c r="V43" s="3">
        <f>D43*U43/T43</f>
        <v>113</v>
      </c>
      <c r="Z43" s="3"/>
      <c r="AJ43" s="3">
        <f t="shared" si="9"/>
        <v>113</v>
      </c>
    </row>
    <row r="44" spans="1:36">
      <c r="A44" t="s">
        <v>83</v>
      </c>
      <c r="C44" t="s">
        <v>89</v>
      </c>
      <c r="D44">
        <v>165</v>
      </c>
      <c r="E44" t="str">
        <f t="shared" si="7"/>
        <v/>
      </c>
      <c r="F44" t="str">
        <f t="shared" si="1"/>
        <v/>
      </c>
      <c r="O44">
        <f t="shared" si="3"/>
        <v>1</v>
      </c>
      <c r="T44">
        <v>24</v>
      </c>
      <c r="U44">
        <v>4</v>
      </c>
      <c r="V44" s="3">
        <f>D44*U44/T44</f>
        <v>27.5</v>
      </c>
      <c r="Y44">
        <v>1</v>
      </c>
      <c r="Z44" s="3">
        <f>D44*Y44/12</f>
        <v>13.75</v>
      </c>
      <c r="AJ44" s="3">
        <f>IF(O44&gt;0,SUM(Q44+S44+V44+X44+Z44+AB44+AD44+AG44)," ")-V44*Z44/D44</f>
        <v>38.958333333333336</v>
      </c>
    </row>
    <row r="45" spans="1:36">
      <c r="A45" t="s">
        <v>83</v>
      </c>
      <c r="C45" t="s">
        <v>90</v>
      </c>
      <c r="D45">
        <v>70</v>
      </c>
      <c r="E45" t="str">
        <f t="shared" si="7"/>
        <v/>
      </c>
      <c r="F45">
        <f t="shared" si="1"/>
        <v>1</v>
      </c>
      <c r="G45">
        <v>24</v>
      </c>
      <c r="H45">
        <v>4</v>
      </c>
      <c r="I45" s="2">
        <f t="shared" si="8"/>
        <v>0.16666666666666666</v>
      </c>
      <c r="J45" s="3">
        <f>D45*I45</f>
        <v>11.666666666666666</v>
      </c>
      <c r="L45">
        <f>_xlfn.RANK.EQ(J45,J$13:J$66)</f>
        <v>5</v>
      </c>
      <c r="O45" t="str">
        <f t="shared" si="3"/>
        <v/>
      </c>
      <c r="Z45" s="3"/>
      <c r="AJ45" s="3">
        <f t="shared" si="9"/>
        <v>0</v>
      </c>
    </row>
    <row r="46" spans="1:36">
      <c r="A46" t="s">
        <v>83</v>
      </c>
      <c r="C46" t="s">
        <v>91</v>
      </c>
      <c r="D46">
        <v>25</v>
      </c>
      <c r="E46" t="str">
        <f t="shared" si="7"/>
        <v/>
      </c>
      <c r="F46">
        <f t="shared" si="1"/>
        <v>1</v>
      </c>
      <c r="G46">
        <v>24</v>
      </c>
      <c r="H46">
        <v>2</v>
      </c>
      <c r="I46" s="2">
        <f t="shared" si="8"/>
        <v>8.3333333333333329E-2</v>
      </c>
      <c r="J46" s="3">
        <f>D46*I46</f>
        <v>2.083333333333333</v>
      </c>
      <c r="L46">
        <f>_xlfn.RANK.EQ(J46,J$13:J$66)</f>
        <v>10</v>
      </c>
      <c r="O46" t="str">
        <f t="shared" si="3"/>
        <v/>
      </c>
      <c r="Z46" s="3"/>
      <c r="AJ46" s="3">
        <f t="shared" si="9"/>
        <v>0</v>
      </c>
    </row>
    <row r="47" spans="1:36">
      <c r="A47" t="s">
        <v>83</v>
      </c>
      <c r="C47" t="s">
        <v>92</v>
      </c>
      <c r="D47">
        <v>76</v>
      </c>
      <c r="E47" t="str">
        <f t="shared" si="7"/>
        <v/>
      </c>
      <c r="F47" t="str">
        <f t="shared" si="1"/>
        <v/>
      </c>
      <c r="O47">
        <f t="shared" si="3"/>
        <v>1</v>
      </c>
      <c r="T47">
        <v>24</v>
      </c>
      <c r="U47">
        <v>22</v>
      </c>
      <c r="V47" s="3">
        <f>D47*U47/T47</f>
        <v>69.666666666666671</v>
      </c>
      <c r="Z47" s="3"/>
      <c r="AJ47" s="3">
        <f t="shared" si="9"/>
        <v>69.666666666666671</v>
      </c>
    </row>
    <row r="48" spans="1:36">
      <c r="A48" t="s">
        <v>83</v>
      </c>
      <c r="C48" t="s">
        <v>93</v>
      </c>
      <c r="D48">
        <v>35</v>
      </c>
      <c r="E48" t="str">
        <f t="shared" si="7"/>
        <v/>
      </c>
      <c r="F48">
        <f t="shared" si="1"/>
        <v>1</v>
      </c>
      <c r="G48">
        <v>24</v>
      </c>
      <c r="H48">
        <v>1</v>
      </c>
      <c r="I48" s="2">
        <f t="shared" si="8"/>
        <v>4.1666666666666664E-2</v>
      </c>
      <c r="J48" s="3">
        <f>D48*I48</f>
        <v>1.4583333333333333</v>
      </c>
      <c r="L48">
        <f>_xlfn.RANK.EQ(J48,J$13:J$66)</f>
        <v>14</v>
      </c>
      <c r="O48" t="str">
        <f t="shared" si="3"/>
        <v/>
      </c>
      <c r="Z48" s="3"/>
      <c r="AJ48" s="3">
        <f t="shared" si="9"/>
        <v>0</v>
      </c>
    </row>
    <row r="49" spans="1:36">
      <c r="A49" t="s">
        <v>83</v>
      </c>
      <c r="C49" t="s">
        <v>94</v>
      </c>
      <c r="D49">
        <v>47</v>
      </c>
      <c r="E49" t="str">
        <f t="shared" si="7"/>
        <v/>
      </c>
      <c r="F49" t="str">
        <f t="shared" si="1"/>
        <v/>
      </c>
      <c r="O49">
        <f t="shared" si="3"/>
        <v>1</v>
      </c>
      <c r="T49">
        <v>24</v>
      </c>
      <c r="U49">
        <v>23</v>
      </c>
      <c r="V49" s="3">
        <f>D49*U49/T49</f>
        <v>45.041666666666664</v>
      </c>
      <c r="Z49" s="3"/>
      <c r="AJ49" s="3">
        <f t="shared" si="9"/>
        <v>45.041666666666664</v>
      </c>
    </row>
    <row r="50" spans="1:36">
      <c r="A50" t="s">
        <v>83</v>
      </c>
      <c r="C50" t="s">
        <v>95</v>
      </c>
      <c r="D50">
        <v>27</v>
      </c>
      <c r="E50" t="str">
        <f t="shared" si="7"/>
        <v/>
      </c>
      <c r="F50">
        <f t="shared" si="1"/>
        <v>1</v>
      </c>
      <c r="G50">
        <v>24</v>
      </c>
      <c r="H50">
        <v>1</v>
      </c>
      <c r="I50" s="2">
        <f t="shared" si="8"/>
        <v>4.1666666666666664E-2</v>
      </c>
      <c r="J50" s="3">
        <f>D50*I50</f>
        <v>1.125</v>
      </c>
      <c r="L50">
        <f>_xlfn.RANK.EQ(J50,J$13:J$66)</f>
        <v>17</v>
      </c>
      <c r="O50" t="str">
        <f t="shared" si="3"/>
        <v/>
      </c>
      <c r="Z50" s="3"/>
      <c r="AJ50" s="3">
        <f t="shared" si="9"/>
        <v>0</v>
      </c>
    </row>
    <row r="51" spans="1:36">
      <c r="A51" t="s">
        <v>83</v>
      </c>
      <c r="C51" t="s">
        <v>96</v>
      </c>
      <c r="D51">
        <v>94</v>
      </c>
      <c r="E51">
        <f t="shared" si="7"/>
        <v>1</v>
      </c>
      <c r="F51">
        <f t="shared" si="1"/>
        <v>1</v>
      </c>
      <c r="G51">
        <v>24</v>
      </c>
      <c r="H51">
        <v>1</v>
      </c>
      <c r="I51" s="2">
        <f t="shared" si="8"/>
        <v>4.1666666666666664E-2</v>
      </c>
      <c r="J51" s="3">
        <f>D51*I51</f>
        <v>3.9166666666666665</v>
      </c>
      <c r="L51">
        <f>_xlfn.RANK.EQ(J51,J$13:J$66)</f>
        <v>7</v>
      </c>
      <c r="O51">
        <f t="shared" si="3"/>
        <v>1</v>
      </c>
      <c r="T51">
        <v>25</v>
      </c>
      <c r="U51">
        <v>25</v>
      </c>
      <c r="V51" s="3">
        <f>D51*U51/T51</f>
        <v>94</v>
      </c>
      <c r="Z51" s="3"/>
      <c r="AJ51" s="3">
        <f t="shared" si="9"/>
        <v>94</v>
      </c>
    </row>
    <row r="52" spans="1:36">
      <c r="A52" t="s">
        <v>83</v>
      </c>
      <c r="C52" t="s">
        <v>97</v>
      </c>
      <c r="D52">
        <v>91</v>
      </c>
      <c r="E52" t="str">
        <f t="shared" si="7"/>
        <v/>
      </c>
      <c r="F52" t="str">
        <f t="shared" si="1"/>
        <v/>
      </c>
      <c r="O52">
        <f t="shared" si="3"/>
        <v>1</v>
      </c>
      <c r="T52">
        <v>24</v>
      </c>
      <c r="U52">
        <v>1</v>
      </c>
      <c r="V52" s="3">
        <f>D52*U52/T52</f>
        <v>3.7916666666666665</v>
      </c>
      <c r="Z52" s="3"/>
      <c r="AJ52" s="3">
        <f t="shared" si="9"/>
        <v>3.7916666666666665</v>
      </c>
    </row>
    <row r="53" spans="1:36">
      <c r="A53" t="s">
        <v>83</v>
      </c>
      <c r="C53" t="s">
        <v>98</v>
      </c>
      <c r="D53">
        <v>45</v>
      </c>
      <c r="E53">
        <f t="shared" si="7"/>
        <v>1</v>
      </c>
      <c r="F53">
        <f t="shared" si="1"/>
        <v>1</v>
      </c>
      <c r="G53">
        <v>24</v>
      </c>
      <c r="H53">
        <v>1</v>
      </c>
      <c r="I53" s="2">
        <f t="shared" si="8"/>
        <v>4.1666666666666664E-2</v>
      </c>
      <c r="J53" s="3">
        <f>D53*I53</f>
        <v>1.875</v>
      </c>
      <c r="L53">
        <f>_xlfn.RANK.EQ(J53,J$13:J$66)</f>
        <v>11</v>
      </c>
      <c r="O53">
        <f t="shared" si="3"/>
        <v>1</v>
      </c>
      <c r="T53">
        <v>24</v>
      </c>
      <c r="U53">
        <v>14</v>
      </c>
      <c r="V53" s="3">
        <f>D53*U53/T53</f>
        <v>26.25</v>
      </c>
      <c r="Z53" s="3"/>
      <c r="AJ53" s="3">
        <f t="shared" si="9"/>
        <v>26.25</v>
      </c>
    </row>
    <row r="54" spans="1:36">
      <c r="A54" t="s">
        <v>83</v>
      </c>
      <c r="C54" t="s">
        <v>99</v>
      </c>
      <c r="D54">
        <v>30</v>
      </c>
      <c r="E54" t="str">
        <f t="shared" si="7"/>
        <v/>
      </c>
      <c r="F54">
        <f t="shared" si="1"/>
        <v>1</v>
      </c>
      <c r="G54">
        <v>24</v>
      </c>
      <c r="H54">
        <v>3</v>
      </c>
      <c r="I54" s="2">
        <f t="shared" si="8"/>
        <v>0.125</v>
      </c>
      <c r="J54" s="3">
        <f>D54*I54</f>
        <v>3.75</v>
      </c>
      <c r="L54">
        <f>_xlfn.RANK.EQ(J54,J$13:J$66)</f>
        <v>8</v>
      </c>
      <c r="O54" t="str">
        <f t="shared" si="3"/>
        <v/>
      </c>
      <c r="Z54" s="3"/>
      <c r="AJ54" s="3">
        <f t="shared" si="9"/>
        <v>0</v>
      </c>
    </row>
    <row r="55" spans="1:36">
      <c r="A55" t="s">
        <v>83</v>
      </c>
      <c r="C55" t="s">
        <v>100</v>
      </c>
      <c r="D55">
        <v>125</v>
      </c>
      <c r="E55" t="str">
        <f t="shared" si="7"/>
        <v/>
      </c>
      <c r="F55" t="str">
        <f t="shared" si="1"/>
        <v/>
      </c>
      <c r="O55">
        <f t="shared" si="3"/>
        <v>1</v>
      </c>
      <c r="T55">
        <v>26</v>
      </c>
      <c r="U55">
        <v>26</v>
      </c>
      <c r="V55" s="3">
        <f>D55*U55/T55</f>
        <v>125</v>
      </c>
      <c r="Z55" s="3"/>
      <c r="AJ55" s="3">
        <f t="shared" si="9"/>
        <v>125</v>
      </c>
    </row>
    <row r="56" spans="1:36">
      <c r="A56" t="s">
        <v>83</v>
      </c>
      <c r="C56" t="s">
        <v>101</v>
      </c>
      <c r="D56">
        <v>129</v>
      </c>
      <c r="E56" t="str">
        <f t="shared" si="7"/>
        <v/>
      </c>
      <c r="F56" t="str">
        <f t="shared" si="1"/>
        <v/>
      </c>
      <c r="O56">
        <f t="shared" si="3"/>
        <v>1</v>
      </c>
      <c r="Y56">
        <v>3</v>
      </c>
      <c r="Z56" s="3">
        <f>D56*Y56/12</f>
        <v>32.25</v>
      </c>
      <c r="AJ56" s="3">
        <f t="shared" si="9"/>
        <v>32.25</v>
      </c>
    </row>
    <row r="57" spans="1:36">
      <c r="A57" t="s">
        <v>83</v>
      </c>
      <c r="C57" t="s">
        <v>102</v>
      </c>
      <c r="D57">
        <v>30</v>
      </c>
      <c r="E57">
        <f t="shared" si="7"/>
        <v>1</v>
      </c>
      <c r="F57">
        <f t="shared" si="1"/>
        <v>1</v>
      </c>
      <c r="G57">
        <v>24</v>
      </c>
      <c r="H57">
        <v>1</v>
      </c>
      <c r="I57" s="2">
        <f t="shared" si="8"/>
        <v>4.1666666666666664E-2</v>
      </c>
      <c r="J57" s="3">
        <f>D57*I57</f>
        <v>1.25</v>
      </c>
      <c r="L57">
        <f>_xlfn.RANK.EQ(J57,J$13:J$66)</f>
        <v>16</v>
      </c>
      <c r="O57">
        <f t="shared" si="3"/>
        <v>1</v>
      </c>
      <c r="T57">
        <v>24</v>
      </c>
      <c r="U57">
        <v>22</v>
      </c>
      <c r="V57" s="3">
        <f>D57*U57/T57</f>
        <v>27.5</v>
      </c>
      <c r="Z57" s="3"/>
      <c r="AJ57" s="3">
        <f t="shared" si="9"/>
        <v>27.5</v>
      </c>
    </row>
    <row r="58" spans="1:36">
      <c r="A58" t="s">
        <v>83</v>
      </c>
      <c r="C58" t="s">
        <v>103</v>
      </c>
      <c r="D58">
        <v>40</v>
      </c>
      <c r="E58" t="str">
        <f t="shared" si="7"/>
        <v/>
      </c>
      <c r="F58" t="str">
        <f t="shared" si="1"/>
        <v/>
      </c>
      <c r="O58">
        <f t="shared" si="3"/>
        <v>1</v>
      </c>
      <c r="Y58">
        <v>8</v>
      </c>
      <c r="Z58" s="3">
        <f>D58*Y58/12</f>
        <v>26.666666666666668</v>
      </c>
      <c r="AJ58" s="3">
        <f t="shared" si="9"/>
        <v>26.666666666666668</v>
      </c>
    </row>
    <row r="59" spans="1:36">
      <c r="A59" t="s">
        <v>83</v>
      </c>
      <c r="C59" t="s">
        <v>104</v>
      </c>
      <c r="D59">
        <v>62</v>
      </c>
      <c r="E59" t="str">
        <f t="shared" si="7"/>
        <v/>
      </c>
      <c r="F59" t="str">
        <f t="shared" si="1"/>
        <v/>
      </c>
      <c r="O59">
        <f t="shared" si="3"/>
        <v>1</v>
      </c>
      <c r="T59">
        <v>24</v>
      </c>
      <c r="U59">
        <v>2</v>
      </c>
      <c r="V59" s="3">
        <f t="shared" ref="V59:V65" si="10">D59*U59/T59</f>
        <v>5.166666666666667</v>
      </c>
      <c r="Z59" s="3"/>
      <c r="AJ59" s="3">
        <f t="shared" si="9"/>
        <v>5.166666666666667</v>
      </c>
    </row>
    <row r="60" spans="1:36">
      <c r="A60" t="s">
        <v>83</v>
      </c>
      <c r="C60" t="s">
        <v>105</v>
      </c>
      <c r="D60">
        <v>67</v>
      </c>
      <c r="E60" t="str">
        <f t="shared" si="7"/>
        <v/>
      </c>
      <c r="F60" t="str">
        <f t="shared" si="1"/>
        <v/>
      </c>
      <c r="O60">
        <f t="shared" si="3"/>
        <v>1</v>
      </c>
      <c r="T60">
        <v>24</v>
      </c>
      <c r="U60">
        <v>3</v>
      </c>
      <c r="V60" s="3">
        <f t="shared" si="10"/>
        <v>8.375</v>
      </c>
      <c r="Z60" s="3"/>
      <c r="AJ60" s="3">
        <f t="shared" si="9"/>
        <v>8.375</v>
      </c>
    </row>
    <row r="61" spans="1:36">
      <c r="A61" t="s">
        <v>83</v>
      </c>
      <c r="C61" t="s">
        <v>106</v>
      </c>
      <c r="D61">
        <v>184</v>
      </c>
      <c r="E61" t="str">
        <f t="shared" si="7"/>
        <v/>
      </c>
      <c r="F61" t="str">
        <f t="shared" si="1"/>
        <v/>
      </c>
      <c r="O61">
        <f t="shared" si="3"/>
        <v>1</v>
      </c>
      <c r="T61">
        <v>24</v>
      </c>
      <c r="U61">
        <v>2</v>
      </c>
      <c r="V61" s="3">
        <f t="shared" si="10"/>
        <v>15.333333333333334</v>
      </c>
      <c r="AJ61" s="3">
        <f t="shared" si="9"/>
        <v>15.333333333333334</v>
      </c>
    </row>
    <row r="62" spans="1:36">
      <c r="A62" t="s">
        <v>83</v>
      </c>
      <c r="C62" t="s">
        <v>107</v>
      </c>
      <c r="D62">
        <v>127</v>
      </c>
      <c r="E62" t="str">
        <f t="shared" si="7"/>
        <v/>
      </c>
      <c r="F62" t="str">
        <f t="shared" si="1"/>
        <v/>
      </c>
      <c r="O62">
        <f t="shared" si="3"/>
        <v>1</v>
      </c>
      <c r="T62">
        <v>24</v>
      </c>
      <c r="U62">
        <v>21</v>
      </c>
      <c r="V62" s="3">
        <f t="shared" si="10"/>
        <v>111.125</v>
      </c>
      <c r="AJ62" s="3">
        <f t="shared" si="9"/>
        <v>111.125</v>
      </c>
    </row>
    <row r="63" spans="1:36">
      <c r="A63" t="s">
        <v>83</v>
      </c>
      <c r="C63" t="s">
        <v>108</v>
      </c>
      <c r="D63">
        <v>576</v>
      </c>
      <c r="E63" t="str">
        <f t="shared" si="7"/>
        <v/>
      </c>
      <c r="F63" t="str">
        <f t="shared" si="1"/>
        <v/>
      </c>
      <c r="O63">
        <f t="shared" si="3"/>
        <v>1</v>
      </c>
      <c r="T63">
        <v>24</v>
      </c>
      <c r="U63">
        <v>24</v>
      </c>
      <c r="V63" s="3">
        <f t="shared" si="10"/>
        <v>576</v>
      </c>
      <c r="AJ63" s="3">
        <f t="shared" si="9"/>
        <v>576</v>
      </c>
    </row>
    <row r="64" spans="1:36">
      <c r="A64" t="s">
        <v>83</v>
      </c>
      <c r="C64" t="s">
        <v>109</v>
      </c>
      <c r="D64">
        <v>151</v>
      </c>
      <c r="E64" t="str">
        <f t="shared" si="7"/>
        <v/>
      </c>
      <c r="F64" t="str">
        <f t="shared" si="1"/>
        <v/>
      </c>
      <c r="O64">
        <f t="shared" si="3"/>
        <v>1</v>
      </c>
      <c r="T64">
        <v>24</v>
      </c>
      <c r="U64">
        <v>20</v>
      </c>
      <c r="V64" s="3">
        <f t="shared" si="10"/>
        <v>125.83333333333333</v>
      </c>
      <c r="AJ64" s="3">
        <f t="shared" si="9"/>
        <v>125.83333333333333</v>
      </c>
    </row>
    <row r="65" spans="1:36">
      <c r="A65" t="s">
        <v>83</v>
      </c>
      <c r="C65" t="s">
        <v>110</v>
      </c>
      <c r="D65">
        <v>52</v>
      </c>
      <c r="E65">
        <f t="shared" si="7"/>
        <v>1</v>
      </c>
      <c r="F65">
        <f t="shared" si="1"/>
        <v>1</v>
      </c>
      <c r="G65">
        <v>24</v>
      </c>
      <c r="H65">
        <v>1</v>
      </c>
      <c r="I65" s="2">
        <f t="shared" si="8"/>
        <v>4.1666666666666664E-2</v>
      </c>
      <c r="J65" s="3">
        <f>D65*I65</f>
        <v>2.1666666666666665</v>
      </c>
      <c r="L65">
        <f>_xlfn.RANK.EQ(J65,J$13:J$66)</f>
        <v>9</v>
      </c>
      <c r="O65">
        <f t="shared" si="3"/>
        <v>1</v>
      </c>
      <c r="T65">
        <v>24</v>
      </c>
      <c r="U65">
        <v>4</v>
      </c>
      <c r="V65" s="3">
        <f t="shared" si="10"/>
        <v>8.6666666666666661</v>
      </c>
      <c r="AJ65" s="3">
        <f t="shared" si="9"/>
        <v>8.6666666666666661</v>
      </c>
    </row>
    <row r="66" spans="1:36" s="1" customFormat="1">
      <c r="A66" s="1" t="s">
        <v>111</v>
      </c>
      <c r="B66" s="1" t="s">
        <v>112</v>
      </c>
      <c r="C66" s="1">
        <v>2735</v>
      </c>
      <c r="D66" s="1">
        <f>SUM( D39:D65)</f>
        <v>2735</v>
      </c>
      <c r="F66" s="1">
        <f>SUMIF(F39:F65,"&gt;0", D39:D65)</f>
        <v>424</v>
      </c>
      <c r="I66" s="10"/>
      <c r="J66" s="11">
        <f>SUM(J39:J65)</f>
        <v>30.625</v>
      </c>
      <c r="K66" s="10">
        <f>J66/F66</f>
        <v>7.2228773584905662E-2</v>
      </c>
      <c r="Q66" s="11"/>
      <c r="V66" s="11"/>
      <c r="X66" s="11"/>
      <c r="AI66" s="1">
        <f>SUM(AI39:AI65)</f>
        <v>0</v>
      </c>
      <c r="AJ66" s="11">
        <f>SUM(AJ39:AJ65)</f>
        <v>1642.9618055555554</v>
      </c>
    </row>
    <row r="67" spans="1:36" s="1" customFormat="1">
      <c r="B67" s="1" t="s">
        <v>56</v>
      </c>
      <c r="C67" s="1">
        <f>D66/C66</f>
        <v>1</v>
      </c>
      <c r="E67" s="1" t="s">
        <v>57</v>
      </c>
      <c r="F67" s="10">
        <f>F66/C66</f>
        <v>0.15502742230347349</v>
      </c>
      <c r="I67" s="10"/>
      <c r="J67" s="11"/>
      <c r="K67" s="10"/>
      <c r="Q67" s="11"/>
      <c r="V67" s="11"/>
      <c r="X67" s="11"/>
      <c r="AH67" s="11" t="s">
        <v>72</v>
      </c>
      <c r="AJ67" s="11">
        <f>AJ66/SUMIF(AJ39:AJ65, "&gt;0", D39:D66)</f>
        <v>0.64887907012462698</v>
      </c>
    </row>
    <row r="68" spans="1:36">
      <c r="A68" s="1" t="s">
        <v>113</v>
      </c>
      <c r="D68" s="1">
        <f>D20+D30+D36+D66</f>
        <v>10548</v>
      </c>
      <c r="E68">
        <f>SUMIF(E10:E65,"&gt;0",D10:D65)</f>
        <v>1564</v>
      </c>
      <c r="F68" s="1">
        <f>F20++F30+F36+F66</f>
        <v>3057</v>
      </c>
      <c r="H68" s="1" t="s">
        <v>114</v>
      </c>
      <c r="I68"/>
      <c r="J68" s="11">
        <f>J20+J30+J36+J66</f>
        <v>195.06774300796914</v>
      </c>
      <c r="K68" s="10">
        <f>J68/F68</f>
        <v>6.3810187441272204E-2</v>
      </c>
      <c r="P68" s="1" t="s">
        <v>115</v>
      </c>
      <c r="Q68" s="3">
        <f>SUMIF(O10:O20,"&gt;0",D10:D20)+D34+D35</f>
        <v>3610</v>
      </c>
      <c r="R68" s="1" t="s">
        <v>116</v>
      </c>
      <c r="T68" s="12" t="s">
        <v>117</v>
      </c>
      <c r="U68" s="13"/>
      <c r="V68" s="14"/>
      <c r="W68" s="13"/>
      <c r="X68" s="15">
        <f>AI68/Q68</f>
        <v>1.3737534626038783</v>
      </c>
      <c r="AF68" s="1" t="s">
        <v>118</v>
      </c>
      <c r="AI68" s="11">
        <f>AI20+AI30+AI36+AI66</f>
        <v>4959.2500000000009</v>
      </c>
      <c r="AJ68" s="11">
        <f>AJ20+AJ30+AJ36+AJ66</f>
        <v>3103.0675747863247</v>
      </c>
    </row>
    <row r="69" spans="1:36" ht="43.5">
      <c r="C69" s="7" t="s">
        <v>119</v>
      </c>
      <c r="D69" s="16" t="s">
        <v>120</v>
      </c>
      <c r="E69" s="16" t="s">
        <v>121</v>
      </c>
      <c r="F69" s="16" t="s">
        <v>122</v>
      </c>
      <c r="G69" s="16"/>
      <c r="H69" s="17" t="s">
        <v>123</v>
      </c>
      <c r="I69" s="13"/>
      <c r="J69" s="18">
        <f>J68/F68</f>
        <v>6.3810187441272204E-2</v>
      </c>
      <c r="K69" s="19"/>
      <c r="P69" s="1" t="s">
        <v>124</v>
      </c>
      <c r="Q69" s="3">
        <f>SUMIF(O23:O65,"&gt;0",D23:D65)-D34-D35</f>
        <v>5445</v>
      </c>
      <c r="R69" s="3">
        <f>Q68+Q69</f>
        <v>9055</v>
      </c>
      <c r="T69" s="12" t="s">
        <v>125</v>
      </c>
      <c r="U69" s="13"/>
      <c r="V69" s="14"/>
      <c r="W69" s="13"/>
      <c r="X69" s="15">
        <f>AJ68/Q69</f>
        <v>0.56989303485515608</v>
      </c>
    </row>
    <row r="70" spans="1:36" s="1" customFormat="1">
      <c r="A70"/>
      <c r="B70"/>
      <c r="D70"/>
      <c r="H70" t="s">
        <v>126</v>
      </c>
      <c r="I70"/>
      <c r="J70" s="1">
        <f>SUM(F10:F19)+SUM(F23:F29)+SUM(F34:F35)+SUM(F39:F65)</f>
        <v>14</v>
      </c>
      <c r="K70" s="10"/>
      <c r="N70"/>
      <c r="O70"/>
      <c r="P70" t="s">
        <v>127</v>
      </c>
      <c r="Q70" s="3">
        <f>Q68+Q69+F68-E68</f>
        <v>10548</v>
      </c>
      <c r="R70"/>
      <c r="S70"/>
      <c r="T70" t="s">
        <v>128</v>
      </c>
      <c r="U70"/>
      <c r="V70" s="3"/>
      <c r="W70"/>
      <c r="X70" s="20">
        <f>SUM(O10:O65)</f>
        <v>39</v>
      </c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" customFormat="1">
      <c r="A71"/>
      <c r="B71"/>
      <c r="H71"/>
      <c r="I71" s="2"/>
      <c r="K71" s="10"/>
      <c r="L71"/>
      <c r="M71"/>
      <c r="N71"/>
      <c r="O71"/>
      <c r="P71"/>
      <c r="Q71" s="3"/>
      <c r="R71"/>
      <c r="S71"/>
      <c r="T71"/>
      <c r="U71"/>
      <c r="V71" s="3"/>
      <c r="W71"/>
      <c r="X71" s="3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" customFormat="1">
      <c r="A72"/>
      <c r="B72"/>
      <c r="G72"/>
      <c r="H72"/>
      <c r="I72" s="2"/>
      <c r="K72" s="10"/>
      <c r="L72"/>
      <c r="M72"/>
      <c r="N72"/>
      <c r="O72"/>
      <c r="P72"/>
      <c r="Q72" s="3"/>
      <c r="R72"/>
      <c r="S72"/>
      <c r="T72"/>
      <c r="U72"/>
      <c r="V72" s="3"/>
      <c r="W72"/>
      <c r="X72" s="3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" customFormat="1">
      <c r="A73" s="1" t="s">
        <v>129</v>
      </c>
      <c r="C73" s="1">
        <f>C20+C30+C36+C66</f>
        <v>42056</v>
      </c>
      <c r="F73" s="10">
        <f>F68/D68</f>
        <v>0.28981797497155859</v>
      </c>
      <c r="G73" s="10"/>
      <c r="H73"/>
      <c r="I73" s="2"/>
      <c r="K73" s="10"/>
      <c r="L73"/>
      <c r="M73"/>
      <c r="N73"/>
      <c r="O73"/>
      <c r="P73"/>
      <c r="Q73" s="3"/>
      <c r="R73"/>
      <c r="S73"/>
      <c r="T73"/>
      <c r="U73"/>
      <c r="V73" s="3"/>
      <c r="W73"/>
      <c r="X73" s="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" customFormat="1">
      <c r="A74"/>
      <c r="B74" s="1" t="s">
        <v>130</v>
      </c>
      <c r="C74" s="10">
        <f>D68/C73</f>
        <v>0.25080844588168155</v>
      </c>
      <c r="E74" s="1" t="s">
        <v>131</v>
      </c>
      <c r="F74" s="10">
        <f>F68/C73</f>
        <v>7.268879589119269E-2</v>
      </c>
      <c r="H74"/>
      <c r="I74" s="2"/>
      <c r="K74" s="10"/>
      <c r="L74"/>
      <c r="M74"/>
      <c r="N74"/>
      <c r="O74"/>
      <c r="P74"/>
      <c r="Q74" s="3"/>
      <c r="R74"/>
      <c r="S74"/>
      <c r="T74"/>
      <c r="U74"/>
      <c r="V74" s="3"/>
      <c r="W74"/>
      <c r="X74" s="3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" customFormat="1">
      <c r="A75"/>
      <c r="B75"/>
      <c r="H75"/>
      <c r="I75" s="2"/>
      <c r="K75" s="10"/>
      <c r="L75"/>
      <c r="M75"/>
      <c r="N75"/>
      <c r="O75"/>
      <c r="P75"/>
      <c r="Q75" s="3"/>
      <c r="R75"/>
      <c r="S75"/>
      <c r="T75"/>
      <c r="U75"/>
      <c r="V75" s="3"/>
      <c r="W75"/>
      <c r="X75" s="3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" customFormat="1">
      <c r="A76"/>
      <c r="B76"/>
      <c r="H76"/>
      <c r="I76" s="2"/>
      <c r="K76" s="10"/>
      <c r="L76"/>
      <c r="M76"/>
      <c r="N76"/>
      <c r="O76"/>
      <c r="P76"/>
      <c r="Q76" s="3"/>
      <c r="R76"/>
      <c r="S76"/>
      <c r="T76"/>
      <c r="U76"/>
      <c r="V76" s="3"/>
      <c r="W76"/>
      <c r="X76" s="3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>
      <c r="A77"/>
      <c r="B77"/>
      <c r="H77"/>
      <c r="I77" s="2"/>
      <c r="K77" s="10"/>
      <c r="L77"/>
      <c r="M77"/>
      <c r="N77"/>
      <c r="O77"/>
      <c r="P77"/>
      <c r="Q77" s="3"/>
      <c r="R77"/>
      <c r="S77"/>
      <c r="T77"/>
      <c r="U77"/>
      <c r="V77" s="3"/>
      <c r="W77"/>
      <c r="X77" s="3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>
      <c r="A78"/>
      <c r="B78"/>
      <c r="H78"/>
      <c r="I78" s="2"/>
      <c r="K78" s="10"/>
      <c r="L78"/>
      <c r="M78"/>
      <c r="N78"/>
      <c r="O78"/>
      <c r="P78"/>
      <c r="Q78" s="3"/>
      <c r="R78"/>
      <c r="S78"/>
      <c r="T78"/>
      <c r="U78"/>
      <c r="V78" s="3"/>
      <c r="W78"/>
      <c r="X78" s="3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" customFormat="1">
      <c r="A79"/>
      <c r="B79"/>
      <c r="H79"/>
      <c r="I79" s="2"/>
      <c r="K79" s="10"/>
      <c r="L79"/>
      <c r="M79"/>
      <c r="N79"/>
      <c r="O79"/>
      <c r="P79"/>
      <c r="Q79" s="3"/>
      <c r="R79"/>
      <c r="S79"/>
      <c r="T79"/>
      <c r="U79"/>
      <c r="V79" s="3"/>
      <c r="W79"/>
      <c r="X79" s="3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>
      <c r="A80" s="1" t="s">
        <v>132</v>
      </c>
    </row>
    <row r="81" spans="1:8">
      <c r="A81" t="s">
        <v>155</v>
      </c>
    </row>
    <row r="82" spans="1:8">
      <c r="A82" t="s">
        <v>133</v>
      </c>
      <c r="D82" t="s">
        <v>134</v>
      </c>
    </row>
    <row r="83" spans="1:8">
      <c r="A83" t="s">
        <v>135</v>
      </c>
      <c r="D83">
        <v>6</v>
      </c>
      <c r="G83" t="s">
        <v>136</v>
      </c>
      <c r="H83">
        <v>1</v>
      </c>
    </row>
    <row r="84" spans="1:8">
      <c r="A84" t="s">
        <v>137</v>
      </c>
      <c r="D84" t="s">
        <v>134</v>
      </c>
    </row>
    <row r="85" spans="1:8">
      <c r="A85" t="s">
        <v>138</v>
      </c>
      <c r="D85">
        <v>13</v>
      </c>
      <c r="G85" t="s">
        <v>136</v>
      </c>
      <c r="H85">
        <v>1</v>
      </c>
    </row>
    <row r="88" spans="1:8">
      <c r="A88" s="1" t="s">
        <v>139</v>
      </c>
    </row>
    <row r="89" spans="1:8">
      <c r="A89" t="s">
        <v>140</v>
      </c>
    </row>
    <row r="91" spans="1:8">
      <c r="A91" s="1" t="s">
        <v>141</v>
      </c>
    </row>
    <row r="92" spans="1:8">
      <c r="A92" t="s">
        <v>142</v>
      </c>
    </row>
    <row r="94" spans="1:8">
      <c r="A94" s="1" t="s">
        <v>143</v>
      </c>
    </row>
    <row r="95" spans="1:8">
      <c r="A95" s="1" t="s">
        <v>144</v>
      </c>
    </row>
    <row r="96" spans="1:8">
      <c r="A96" t="s">
        <v>145</v>
      </c>
    </row>
    <row r="97" spans="1:2">
      <c r="A97" t="s">
        <v>146</v>
      </c>
    </row>
    <row r="98" spans="1:2">
      <c r="A98" t="s">
        <v>147</v>
      </c>
    </row>
    <row r="100" spans="1:2">
      <c r="A100" s="1" t="s">
        <v>148</v>
      </c>
    </row>
    <row r="101" spans="1:2">
      <c r="A101" t="s">
        <v>149</v>
      </c>
      <c r="B101" t="s">
        <v>150</v>
      </c>
    </row>
    <row r="102" spans="1:2">
      <c r="A102" t="s">
        <v>151</v>
      </c>
      <c r="B102" t="s">
        <v>152</v>
      </c>
    </row>
    <row r="103" spans="1:2">
      <c r="A103" t="s">
        <v>153</v>
      </c>
    </row>
    <row r="104" spans="1:2">
      <c r="A104" t="s">
        <v>154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5" fitToWidth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6430B-A701-4683-A1D3-354C8A596EE2}">
  <dimension ref="A1:AM104"/>
  <sheetViews>
    <sheetView topLeftCell="AA44" zoomScale="132" zoomScaleNormal="120" workbookViewId="0">
      <selection activeCell="AQ54" sqref="AQ54"/>
    </sheetView>
  </sheetViews>
  <sheetFormatPr defaultRowHeight="14.5"/>
  <cols>
    <col min="1" max="1" width="20.54296875" customWidth="1"/>
    <col min="2" max="2" width="13.7265625" customWidth="1"/>
    <col min="3" max="3" width="12.26953125" customWidth="1"/>
    <col min="4" max="5" width="11.26953125" customWidth="1"/>
    <col min="7" max="7" width="11.453125" customWidth="1"/>
    <col min="8" max="8" width="16.1796875" customWidth="1"/>
    <col min="9" max="9" width="9.1796875" style="2"/>
    <col min="10" max="10" width="9.1796875" style="3"/>
    <col min="11" max="11" width="9.1796875" style="2"/>
    <col min="12" max="13" width="12.1796875" customWidth="1"/>
    <col min="16" max="16" width="12.26953125" customWidth="1"/>
    <col min="17" max="17" width="11.453125" style="3" customWidth="1"/>
    <col min="20" max="20" width="12.453125" customWidth="1"/>
    <col min="21" max="21" width="11.453125" customWidth="1"/>
    <col min="22" max="22" width="11.453125" style="3" customWidth="1"/>
    <col min="23" max="23" width="12.26953125" customWidth="1"/>
    <col min="24" max="24" width="12.26953125" style="3" customWidth="1"/>
    <col min="25" max="26" width="12.26953125" customWidth="1"/>
    <col min="27" max="27" width="11.26953125" customWidth="1"/>
    <col min="29" max="30" width="9.1796875" customWidth="1"/>
    <col min="31" max="31" width="10.453125" customWidth="1"/>
    <col min="32" max="32" width="10.81640625" customWidth="1"/>
    <col min="35" max="35" width="14.453125" customWidth="1"/>
    <col min="36" max="36" width="13.7265625" customWidth="1"/>
  </cols>
  <sheetData>
    <row r="1" spans="1:39">
      <c r="A1" s="1" t="s">
        <v>0</v>
      </c>
    </row>
    <row r="3" spans="1:39" s="4" customFormat="1" ht="27.75" customHeight="1">
      <c r="A3" s="4" t="s">
        <v>1</v>
      </c>
      <c r="H3" s="4" t="s">
        <v>2</v>
      </c>
      <c r="I3" s="5"/>
      <c r="J3" s="6"/>
      <c r="K3" s="5"/>
      <c r="P3" s="4" t="s">
        <v>3</v>
      </c>
      <c r="Q3" s="6" t="s">
        <v>4</v>
      </c>
      <c r="R3" s="4" t="s">
        <v>5</v>
      </c>
      <c r="S3" s="4" t="s">
        <v>4</v>
      </c>
      <c r="U3" s="4" t="s">
        <v>6</v>
      </c>
      <c r="V3" s="6" t="s">
        <v>4</v>
      </c>
      <c r="W3" s="4" t="s">
        <v>7</v>
      </c>
      <c r="X3" s="6" t="s">
        <v>4</v>
      </c>
      <c r="Y3" s="4" t="s">
        <v>8</v>
      </c>
      <c r="Z3" s="4" t="s">
        <v>9</v>
      </c>
      <c r="AA3" s="4" t="s">
        <v>10</v>
      </c>
      <c r="AB3" s="4" t="s">
        <v>4</v>
      </c>
      <c r="AC3" s="4" t="s">
        <v>11</v>
      </c>
      <c r="AD3" s="4" t="s">
        <v>4</v>
      </c>
      <c r="AF3" s="4" t="s">
        <v>12</v>
      </c>
      <c r="AG3" s="4" t="s">
        <v>4</v>
      </c>
      <c r="AI3" s="4" t="s">
        <v>13</v>
      </c>
      <c r="AJ3" s="4" t="s">
        <v>14</v>
      </c>
      <c r="AL3" s="4" t="s">
        <v>156</v>
      </c>
      <c r="AM3" s="4" t="s">
        <v>157</v>
      </c>
    </row>
    <row r="4" spans="1:39" s="7" customFormat="1" ht="28.5" customHeight="1">
      <c r="G4" s="7" t="s">
        <v>15</v>
      </c>
      <c r="H4" s="7" t="s">
        <v>16</v>
      </c>
      <c r="I4" s="8" t="s">
        <v>17</v>
      </c>
      <c r="J4" s="9" t="s">
        <v>18</v>
      </c>
      <c r="K4" s="8" t="s">
        <v>19</v>
      </c>
      <c r="L4" s="7" t="s">
        <v>20</v>
      </c>
      <c r="Q4" s="9" t="s">
        <v>21</v>
      </c>
      <c r="S4" s="9" t="s">
        <v>21</v>
      </c>
      <c r="T4" s="7" t="s">
        <v>22</v>
      </c>
      <c r="U4" s="7" t="s">
        <v>23</v>
      </c>
      <c r="V4" s="7" t="s">
        <v>24</v>
      </c>
      <c r="X4" s="9" t="s">
        <v>21</v>
      </c>
      <c r="Y4" s="7" t="s">
        <v>23</v>
      </c>
      <c r="Z4" s="7" t="s">
        <v>24</v>
      </c>
      <c r="AB4" s="9" t="s">
        <v>21</v>
      </c>
      <c r="AD4" s="9" t="s">
        <v>21</v>
      </c>
      <c r="AE4" s="7" t="s">
        <v>15</v>
      </c>
      <c r="AF4" s="7" t="s">
        <v>23</v>
      </c>
      <c r="AG4" s="7" t="s">
        <v>24</v>
      </c>
    </row>
    <row r="5" spans="1:39">
      <c r="A5" s="1" t="s">
        <v>25</v>
      </c>
      <c r="H5">
        <v>0</v>
      </c>
      <c r="P5">
        <v>3.0000000000000001E-3</v>
      </c>
      <c r="R5">
        <v>2</v>
      </c>
      <c r="U5">
        <v>50</v>
      </c>
      <c r="W5">
        <v>0.5</v>
      </c>
      <c r="AA5">
        <v>0.02</v>
      </c>
      <c r="AC5">
        <v>1.5</v>
      </c>
      <c r="AF5">
        <v>0.25</v>
      </c>
    </row>
    <row r="7" spans="1:39" s="1" customForma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I7" s="10"/>
      <c r="J7" s="11"/>
      <c r="K7" s="10"/>
      <c r="L7"/>
      <c r="M7"/>
      <c r="O7" s="1" t="s">
        <v>32</v>
      </c>
      <c r="Q7" s="11"/>
      <c r="V7" s="11"/>
      <c r="X7" s="11"/>
    </row>
    <row r="8" spans="1:39">
      <c r="D8" t="s">
        <v>33</v>
      </c>
      <c r="E8" s="1" t="s">
        <v>34</v>
      </c>
      <c r="F8" s="1" t="s">
        <v>34</v>
      </c>
      <c r="O8" s="1" t="s">
        <v>34</v>
      </c>
    </row>
    <row r="9" spans="1:39">
      <c r="A9" s="1" t="s">
        <v>35</v>
      </c>
      <c r="AI9" s="3"/>
    </row>
    <row r="10" spans="1:39">
      <c r="A10" t="s">
        <v>36</v>
      </c>
      <c r="B10" t="s">
        <v>37</v>
      </c>
      <c r="C10" t="s">
        <v>38</v>
      </c>
      <c r="D10">
        <v>378</v>
      </c>
      <c r="E10" t="str">
        <f t="shared" ref="E10:E20" si="0">IF(AND(F10=1,O10&lt;=5),1,"")</f>
        <v/>
      </c>
      <c r="F10" t="str">
        <f t="shared" ref="F10:F65" si="1">IF(I10&gt;0,1,"")</f>
        <v/>
      </c>
      <c r="O10">
        <f>IF(SUM(P10:AF10)&gt;0,1,"")</f>
        <v>1</v>
      </c>
      <c r="W10">
        <v>2.6</v>
      </c>
      <c r="X10" s="3">
        <f>$D10*MAX(0, (W10/W$5-1))</f>
        <v>1587.6000000000001</v>
      </c>
      <c r="AI10" s="3">
        <f>IF(O10&gt;0,SUM(Q10+S10+V10+X10+AB10+AD10+AG10))</f>
        <v>1587.6000000000001</v>
      </c>
      <c r="AL10">
        <f>_xlfn.RANK.EQ(AI10,AI$10:AI$35)</f>
        <v>2</v>
      </c>
    </row>
    <row r="11" spans="1:39">
      <c r="A11" t="s">
        <v>36</v>
      </c>
      <c r="B11" t="s">
        <v>37</v>
      </c>
      <c r="C11" t="s">
        <v>39</v>
      </c>
      <c r="D11">
        <v>503</v>
      </c>
      <c r="E11" t="str">
        <f t="shared" si="0"/>
        <v/>
      </c>
      <c r="F11" t="str">
        <f t="shared" si="1"/>
        <v/>
      </c>
      <c r="O11">
        <f>IF(SUM(P11:AF11)&gt;0,1,"")</f>
        <v>1</v>
      </c>
      <c r="W11">
        <v>1.9</v>
      </c>
      <c r="X11" s="3">
        <f>$D11*MAX(0, (W11/W$5-1))</f>
        <v>1408.3999999999999</v>
      </c>
      <c r="AI11" s="3">
        <f t="shared" ref="AI11:AI19" si="2">IF(O11&gt;0,SUM(Q11+S11+V11+X11+AB11+AD11+AG11))</f>
        <v>1408.3999999999999</v>
      </c>
      <c r="AL11">
        <f t="shared" ref="AL11:AL19" si="3">_xlfn.RANK.EQ(AI11,AI$10:AI$35)</f>
        <v>3</v>
      </c>
    </row>
    <row r="12" spans="1:39">
      <c r="A12" t="s">
        <v>36</v>
      </c>
      <c r="B12" t="s">
        <v>40</v>
      </c>
      <c r="C12" t="s">
        <v>41</v>
      </c>
      <c r="D12">
        <v>531</v>
      </c>
      <c r="E12" t="str">
        <f t="shared" si="0"/>
        <v/>
      </c>
      <c r="F12" t="str">
        <f t="shared" si="1"/>
        <v/>
      </c>
      <c r="O12">
        <f t="shared" ref="O12:O65" si="4">IF(SUM(P12:AF12)&gt;0,1,"")</f>
        <v>1</v>
      </c>
      <c r="P12">
        <v>8.0000000000000002E-3</v>
      </c>
      <c r="Q12" s="3">
        <f>$D12*MAX(0, (P12/P$5-1))</f>
        <v>884.99999999999989</v>
      </c>
      <c r="AI12" s="3">
        <f t="shared" si="2"/>
        <v>884.99999999999989</v>
      </c>
      <c r="AL12">
        <f t="shared" si="3"/>
        <v>4</v>
      </c>
    </row>
    <row r="13" spans="1:39">
      <c r="A13" t="s">
        <v>36</v>
      </c>
      <c r="B13" t="s">
        <v>40</v>
      </c>
      <c r="C13" t="s">
        <v>42</v>
      </c>
      <c r="D13">
        <v>74</v>
      </c>
      <c r="E13">
        <f t="shared" si="0"/>
        <v>1</v>
      </c>
      <c r="F13">
        <f t="shared" si="1"/>
        <v>1</v>
      </c>
      <c r="G13">
        <v>50</v>
      </c>
      <c r="H13">
        <v>1</v>
      </c>
      <c r="I13" s="2">
        <f>H13/G13</f>
        <v>0.02</v>
      </c>
      <c r="J13" s="3">
        <f>D13*I13</f>
        <v>1.48</v>
      </c>
      <c r="L13">
        <f>_xlfn.RANK.EQ(J13,J$13:J$66)</f>
        <v>12</v>
      </c>
      <c r="O13">
        <f t="shared" si="4"/>
        <v>1</v>
      </c>
      <c r="R13">
        <v>10</v>
      </c>
      <c r="S13" s="3">
        <f>$D13*MAX(0, (R13/R$5-1))</f>
        <v>296</v>
      </c>
      <c r="AI13" s="3">
        <f t="shared" si="2"/>
        <v>296</v>
      </c>
      <c r="AL13">
        <f t="shared" si="3"/>
        <v>6</v>
      </c>
    </row>
    <row r="14" spans="1:39">
      <c r="A14" t="s">
        <v>36</v>
      </c>
      <c r="B14" t="s">
        <v>40</v>
      </c>
      <c r="C14" t="s">
        <v>43</v>
      </c>
      <c r="D14">
        <v>618</v>
      </c>
      <c r="E14" t="str">
        <f t="shared" si="0"/>
        <v/>
      </c>
      <c r="F14" t="str">
        <f t="shared" si="1"/>
        <v/>
      </c>
      <c r="O14">
        <f t="shared" si="4"/>
        <v>1</v>
      </c>
      <c r="W14">
        <v>0.6</v>
      </c>
      <c r="X14" s="3">
        <f>$D14*MAX(0, (W14/W$5-1))</f>
        <v>123.59999999999997</v>
      </c>
      <c r="AI14" s="3">
        <f t="shared" si="2"/>
        <v>123.59999999999997</v>
      </c>
      <c r="AL14">
        <f t="shared" si="3"/>
        <v>7</v>
      </c>
    </row>
    <row r="15" spans="1:39">
      <c r="A15" t="s">
        <v>36</v>
      </c>
      <c r="B15" t="s">
        <v>44</v>
      </c>
      <c r="C15" t="s">
        <v>45</v>
      </c>
      <c r="D15">
        <v>301</v>
      </c>
      <c r="E15" t="str">
        <f t="shared" si="0"/>
        <v/>
      </c>
      <c r="F15" t="str">
        <f t="shared" si="1"/>
        <v/>
      </c>
      <c r="O15">
        <f t="shared" si="4"/>
        <v>1</v>
      </c>
      <c r="AA15">
        <v>2.5000000000000001E-2</v>
      </c>
      <c r="AB15" s="3">
        <f>$D15*MAX(0, (AA15/AA$5-1))</f>
        <v>75.25</v>
      </c>
      <c r="AI15" s="3">
        <f t="shared" si="2"/>
        <v>75.25</v>
      </c>
      <c r="AL15">
        <f t="shared" si="3"/>
        <v>8</v>
      </c>
    </row>
    <row r="16" spans="1:39">
      <c r="A16" t="s">
        <v>36</v>
      </c>
      <c r="B16" t="s">
        <v>44</v>
      </c>
      <c r="C16" t="s">
        <v>47</v>
      </c>
      <c r="D16">
        <v>420</v>
      </c>
      <c r="E16" t="str">
        <f t="shared" si="0"/>
        <v/>
      </c>
      <c r="F16" t="str">
        <f t="shared" si="1"/>
        <v/>
      </c>
      <c r="O16">
        <f t="shared" si="4"/>
        <v>1</v>
      </c>
      <c r="AC16">
        <v>1.7</v>
      </c>
      <c r="AD16" s="3">
        <f>$D16*MAX(0, (AC16/AC$5-1))</f>
        <v>55.999999999999986</v>
      </c>
      <c r="AI16" s="3">
        <f t="shared" si="2"/>
        <v>55.999999999999986</v>
      </c>
      <c r="AL16">
        <f t="shared" si="3"/>
        <v>12</v>
      </c>
    </row>
    <row r="17" spans="1:39">
      <c r="A17" t="s">
        <v>36</v>
      </c>
      <c r="B17" t="s">
        <v>48</v>
      </c>
      <c r="C17" t="s">
        <v>49</v>
      </c>
      <c r="D17">
        <v>239</v>
      </c>
      <c r="E17" t="str">
        <f t="shared" si="0"/>
        <v/>
      </c>
      <c r="F17" t="str">
        <f t="shared" si="1"/>
        <v/>
      </c>
      <c r="O17">
        <f t="shared" si="4"/>
        <v>1</v>
      </c>
      <c r="AA17">
        <v>4.8000000000000001E-2</v>
      </c>
      <c r="AB17" s="3">
        <f>$D17*MAX(0, (AA17/AA$5-1))</f>
        <v>334.59999999999997</v>
      </c>
      <c r="AI17" s="3">
        <f t="shared" si="2"/>
        <v>334.59999999999997</v>
      </c>
      <c r="AL17">
        <f t="shared" si="3"/>
        <v>5</v>
      </c>
    </row>
    <row r="18" spans="1:39">
      <c r="A18" t="s">
        <v>36</v>
      </c>
      <c r="B18" t="s">
        <v>48</v>
      </c>
      <c r="C18" t="s">
        <v>50</v>
      </c>
      <c r="D18">
        <v>236</v>
      </c>
      <c r="E18" t="str">
        <f t="shared" si="0"/>
        <v/>
      </c>
      <c r="F18" t="str">
        <f t="shared" si="1"/>
        <v/>
      </c>
      <c r="O18">
        <f t="shared" si="4"/>
        <v>1</v>
      </c>
      <c r="AC18">
        <v>1.9</v>
      </c>
      <c r="AD18" s="3">
        <f>$D18*MAX(0, (AC18/AC$5-1))</f>
        <v>62.933333333333323</v>
      </c>
      <c r="AI18" s="3">
        <f t="shared" si="2"/>
        <v>62.933333333333323</v>
      </c>
      <c r="AL18">
        <f t="shared" si="3"/>
        <v>9</v>
      </c>
    </row>
    <row r="19" spans="1:39">
      <c r="A19" t="s">
        <v>36</v>
      </c>
      <c r="B19" t="s">
        <v>48</v>
      </c>
      <c r="C19" t="s">
        <v>51</v>
      </c>
      <c r="D19">
        <v>220</v>
      </c>
      <c r="E19" t="str">
        <f t="shared" si="0"/>
        <v/>
      </c>
      <c r="F19" t="str">
        <f t="shared" si="1"/>
        <v/>
      </c>
      <c r="O19">
        <f t="shared" si="4"/>
        <v>1</v>
      </c>
      <c r="AC19">
        <v>1.9</v>
      </c>
      <c r="AD19" s="3">
        <f>$D19*MAX(0, (AC19/AC$5-1))</f>
        <v>58.666666666666657</v>
      </c>
      <c r="AI19" s="3">
        <f t="shared" si="2"/>
        <v>58.666666666666657</v>
      </c>
      <c r="AL19">
        <f t="shared" si="3"/>
        <v>10</v>
      </c>
    </row>
    <row r="20" spans="1:39" s="1" customFormat="1">
      <c r="A20" s="1" t="s">
        <v>54</v>
      </c>
      <c r="B20" s="1" t="s">
        <v>55</v>
      </c>
      <c r="C20" s="1">
        <v>32017</v>
      </c>
      <c r="D20" s="1">
        <f>SUM(D10:D19)</f>
        <v>3520</v>
      </c>
      <c r="E20" s="1" t="str">
        <f t="shared" si="0"/>
        <v/>
      </c>
      <c r="F20" s="1">
        <f>SUMIF(F10:F19,"&gt;0", D10:D19)</f>
        <v>74</v>
      </c>
      <c r="I20" s="10"/>
      <c r="J20" s="11">
        <f>SUM(J10:J19)</f>
        <v>1.48</v>
      </c>
      <c r="K20" s="10">
        <f>J20/F20</f>
        <v>0.02</v>
      </c>
      <c r="L20">
        <f>_xlfn.RANK.EQ(J20,J$13:J$66)</f>
        <v>12</v>
      </c>
      <c r="O20" s="1" t="str">
        <f t="shared" si="4"/>
        <v/>
      </c>
      <c r="Q20" s="11"/>
      <c r="V20" s="11"/>
      <c r="X20" s="11"/>
      <c r="AI20" s="11">
        <f>SUM(AI10:AI19)</f>
        <v>4888.0500000000011</v>
      </c>
      <c r="AJ20" s="1">
        <f>SUM(AJ10:AJ19)</f>
        <v>0</v>
      </c>
      <c r="AK20"/>
      <c r="AL20"/>
    </row>
    <row r="21" spans="1:39" s="1" customFormat="1">
      <c r="B21" s="1" t="s">
        <v>56</v>
      </c>
      <c r="C21" s="10">
        <f>D20/C20</f>
        <v>0.10994159352843802</v>
      </c>
      <c r="E21" s="1" t="s">
        <v>57</v>
      </c>
      <c r="F21" s="10">
        <f>F20/C20</f>
        <v>2.31127213667739E-3</v>
      </c>
      <c r="I21" s="10"/>
      <c r="J21" s="11"/>
      <c r="K21" s="10"/>
      <c r="Q21" s="11"/>
      <c r="V21" s="11"/>
      <c r="X21" s="11"/>
      <c r="AH21" s="1" t="s">
        <v>58</v>
      </c>
      <c r="AI21" s="11">
        <f>AI20/SUMIF(AI10:AI19,"&gt;0",D10:D19)</f>
        <v>1.3886505681818184</v>
      </c>
    </row>
    <row r="22" spans="1:39">
      <c r="A22" s="1" t="s">
        <v>59</v>
      </c>
      <c r="E22" t="str">
        <f t="shared" ref="E22:E30" si="5">IF(AND(F22=1,O22&lt;=5),1,"")</f>
        <v/>
      </c>
      <c r="F22" t="str">
        <f t="shared" si="1"/>
        <v/>
      </c>
      <c r="O22" t="str">
        <f t="shared" si="4"/>
        <v/>
      </c>
    </row>
    <row r="23" spans="1:39">
      <c r="A23" t="s">
        <v>60</v>
      </c>
      <c r="C23" t="s">
        <v>61</v>
      </c>
      <c r="D23">
        <v>1269</v>
      </c>
      <c r="E23">
        <f t="shared" si="5"/>
        <v>1</v>
      </c>
      <c r="F23">
        <f>IF(I23&gt;0,1,"")</f>
        <v>1</v>
      </c>
      <c r="G23">
        <v>199</v>
      </c>
      <c r="H23">
        <v>1</v>
      </c>
      <c r="I23" s="2">
        <f>H23/G23</f>
        <v>5.0251256281407036E-3</v>
      </c>
      <c r="J23" s="3">
        <f>D23*I23</f>
        <v>6.3768844221105532</v>
      </c>
      <c r="L23">
        <f>_xlfn.RANK.EQ(J23,J$13:J$66)</f>
        <v>6</v>
      </c>
      <c r="O23">
        <v>1</v>
      </c>
      <c r="AE23">
        <v>32</v>
      </c>
      <c r="AF23">
        <v>28</v>
      </c>
      <c r="AG23" s="3">
        <f>$D23*AF23/AE23</f>
        <v>1110.375</v>
      </c>
      <c r="AJ23" s="3">
        <f>IF(O23&gt;0,SUM(Q23+S23+V23+X23+AB23+AD23+AG23))</f>
        <v>1110.375</v>
      </c>
      <c r="AM23">
        <f>_xlfn.RANK.EQ(AJ23,AJ$23:AJ$65)</f>
        <v>2</v>
      </c>
    </row>
    <row r="24" spans="1:39">
      <c r="A24" t="s">
        <v>62</v>
      </c>
      <c r="C24" t="s">
        <v>63</v>
      </c>
      <c r="D24">
        <v>328</v>
      </c>
      <c r="E24" t="str">
        <f t="shared" si="5"/>
        <v/>
      </c>
      <c r="F24">
        <f t="shared" si="1"/>
        <v>1</v>
      </c>
      <c r="G24">
        <v>33</v>
      </c>
      <c r="H24">
        <v>5</v>
      </c>
      <c r="I24" s="2">
        <f t="shared" ref="I24:I25" si="6">H24/G24</f>
        <v>0.15151515151515152</v>
      </c>
      <c r="J24" s="3">
        <f>D24*I24</f>
        <v>49.696969696969695</v>
      </c>
      <c r="L24">
        <f>_xlfn.RANK.EQ(J24,J$13:J$66)</f>
        <v>3</v>
      </c>
      <c r="O24" t="str">
        <f t="shared" si="4"/>
        <v/>
      </c>
    </row>
    <row r="25" spans="1:39">
      <c r="A25" t="s">
        <v>64</v>
      </c>
      <c r="C25" t="s">
        <v>65</v>
      </c>
      <c r="D25">
        <v>962</v>
      </c>
      <c r="E25" t="str">
        <f t="shared" si="5"/>
        <v/>
      </c>
      <c r="F25">
        <f t="shared" si="1"/>
        <v>1</v>
      </c>
      <c r="G25">
        <v>9</v>
      </c>
      <c r="H25">
        <v>1</v>
      </c>
      <c r="I25" s="2">
        <f t="shared" si="6"/>
        <v>0.1111111111111111</v>
      </c>
      <c r="J25" s="3">
        <f>D25*I25</f>
        <v>106.88888888888889</v>
      </c>
      <c r="L25">
        <f>_xlfn.RANK.EQ(J25,J$13:J$66)</f>
        <v>2</v>
      </c>
      <c r="O25" t="str">
        <f t="shared" si="4"/>
        <v/>
      </c>
      <c r="AG25" s="3"/>
      <c r="AJ25" s="3"/>
    </row>
    <row r="26" spans="1:39">
      <c r="A26" t="s">
        <v>66</v>
      </c>
      <c r="C26" t="s">
        <v>67</v>
      </c>
      <c r="D26">
        <v>561</v>
      </c>
      <c r="E26" t="str">
        <f t="shared" si="5"/>
        <v/>
      </c>
      <c r="F26" t="str">
        <f t="shared" si="1"/>
        <v/>
      </c>
      <c r="O26">
        <f t="shared" si="4"/>
        <v>1</v>
      </c>
      <c r="AE26">
        <v>52</v>
      </c>
      <c r="AF26">
        <v>10</v>
      </c>
      <c r="AG26" s="3">
        <f>$D26*AF26/AE26</f>
        <v>107.88461538461539</v>
      </c>
      <c r="AJ26" s="3">
        <f>IF(O26&gt;0,SUM(Q26+S26+V26+X26+AB26+AD26+AG26))</f>
        <v>107.88461538461539</v>
      </c>
      <c r="AM26">
        <f t="shared" ref="AM26:AM65" si="7">_xlfn.RANK.EQ(AJ26,AJ$23:AJ$65)</f>
        <v>9</v>
      </c>
    </row>
    <row r="27" spans="1:39">
      <c r="A27" t="s">
        <v>66</v>
      </c>
      <c r="C27" t="s">
        <v>68</v>
      </c>
      <c r="D27">
        <v>427</v>
      </c>
      <c r="E27" t="str">
        <f t="shared" si="5"/>
        <v/>
      </c>
      <c r="F27" t="str">
        <f t="shared" si="1"/>
        <v/>
      </c>
      <c r="O27">
        <f t="shared" si="4"/>
        <v>1</v>
      </c>
      <c r="AE27">
        <v>52</v>
      </c>
      <c r="AF27">
        <v>12</v>
      </c>
      <c r="AG27" s="3">
        <f t="shared" ref="AG27:AG29" si="8">$D27*AF27/AE27</f>
        <v>98.538461538461533</v>
      </c>
      <c r="AJ27" s="3">
        <f>IF(O27&gt;0,SUM(Q27+S27+V27+X27+AB27+AD27+AG27))</f>
        <v>98.538461538461533</v>
      </c>
      <c r="AM27">
        <f t="shared" si="7"/>
        <v>10</v>
      </c>
    </row>
    <row r="28" spans="1:39">
      <c r="A28" t="s">
        <v>66</v>
      </c>
      <c r="C28" t="s">
        <v>69</v>
      </c>
      <c r="D28">
        <v>260</v>
      </c>
      <c r="E28" t="str">
        <f t="shared" si="5"/>
        <v/>
      </c>
      <c r="F28" t="str">
        <f t="shared" si="1"/>
        <v/>
      </c>
      <c r="O28">
        <f t="shared" si="4"/>
        <v>1</v>
      </c>
      <c r="AE28">
        <v>52</v>
      </c>
      <c r="AF28">
        <v>12</v>
      </c>
      <c r="AG28" s="3">
        <f t="shared" si="8"/>
        <v>60</v>
      </c>
      <c r="AJ28" s="3">
        <f>IF(O28&gt;0,SUM(Q28+S28+V28+X28+AB28+AD28+AG28))</f>
        <v>60</v>
      </c>
      <c r="AM28">
        <f t="shared" si="7"/>
        <v>15</v>
      </c>
    </row>
    <row r="29" spans="1:39">
      <c r="A29" t="s">
        <v>66</v>
      </c>
      <c r="C29" t="s">
        <v>70</v>
      </c>
      <c r="D29">
        <v>361</v>
      </c>
      <c r="E29" t="str">
        <f t="shared" si="5"/>
        <v/>
      </c>
      <c r="F29" t="str">
        <f t="shared" si="1"/>
        <v/>
      </c>
      <c r="O29">
        <f t="shared" si="4"/>
        <v>1</v>
      </c>
      <c r="AE29">
        <v>52</v>
      </c>
      <c r="AF29">
        <v>12</v>
      </c>
      <c r="AG29" s="3">
        <f t="shared" si="8"/>
        <v>83.307692307692307</v>
      </c>
      <c r="AJ29" s="3">
        <f>IF(O29&gt;0,SUM(Q29+S29+V29+X29+AB29+AD29+AG29))</f>
        <v>83.307692307692307</v>
      </c>
      <c r="AM29">
        <f t="shared" si="7"/>
        <v>12</v>
      </c>
    </row>
    <row r="30" spans="1:39" s="1" customFormat="1">
      <c r="A30" s="1" t="s">
        <v>71</v>
      </c>
      <c r="B30" s="1" t="s">
        <v>55</v>
      </c>
      <c r="C30" s="1">
        <v>5210</v>
      </c>
      <c r="D30" s="1">
        <f>SUM(D23:D29)</f>
        <v>4168</v>
      </c>
      <c r="E30" s="1" t="str">
        <f t="shared" si="5"/>
        <v/>
      </c>
      <c r="F30" s="1">
        <f>SUMIF(F23:F29,"&gt;0", D23:D29)</f>
        <v>2559</v>
      </c>
      <c r="I30" s="10"/>
      <c r="J30" s="11">
        <f>SUM(J23:J29)</f>
        <v>162.96274300796915</v>
      </c>
      <c r="K30" s="10">
        <f>J30/F30</f>
        <v>6.3682197345826169E-2</v>
      </c>
      <c r="L30">
        <f>_xlfn.RANK.EQ(J30,J$13:J$66)</f>
        <v>1</v>
      </c>
      <c r="O30" s="1" t="str">
        <f t="shared" si="4"/>
        <v/>
      </c>
      <c r="Q30" s="11"/>
      <c r="V30" s="11"/>
      <c r="X30" s="11"/>
      <c r="AI30" s="1">
        <f>SUM(AI24:AI29)</f>
        <v>0</v>
      </c>
      <c r="AJ30" s="11">
        <f>SUM(AJ23:AJ29)</f>
        <v>1460.1057692307693</v>
      </c>
      <c r="AM30">
        <f t="shared" si="7"/>
        <v>1</v>
      </c>
    </row>
    <row r="31" spans="1:39">
      <c r="B31" s="1" t="s">
        <v>56</v>
      </c>
      <c r="C31" s="10">
        <f>D30/C30</f>
        <v>0.8</v>
      </c>
      <c r="E31" s="1" t="s">
        <v>57</v>
      </c>
      <c r="F31" s="10">
        <f>F30/C30</f>
        <v>0.49117082533589251</v>
      </c>
      <c r="O31" t="str">
        <f t="shared" si="4"/>
        <v/>
      </c>
      <c r="AH31" s="1" t="s">
        <v>72</v>
      </c>
      <c r="AJ31" s="11">
        <f>AJ30/SUMIF(AJ23:AJ29, "&gt;0", D23:D29)</f>
        <v>0.50733348479178919</v>
      </c>
    </row>
    <row r="32" spans="1:39">
      <c r="A32" s="1" t="s">
        <v>73</v>
      </c>
      <c r="E32" t="str">
        <f>IF(AND(F32=1,O32&lt;=5),1,"")</f>
        <v/>
      </c>
      <c r="F32" t="str">
        <f t="shared" si="1"/>
        <v/>
      </c>
      <c r="H32" t="s">
        <v>74</v>
      </c>
      <c r="O32" t="str">
        <f t="shared" si="4"/>
        <v/>
      </c>
      <c r="AI32" s="3"/>
    </row>
    <row r="33" spans="1:39">
      <c r="A33" t="s">
        <v>75</v>
      </c>
      <c r="C33" t="s">
        <v>76</v>
      </c>
      <c r="D33">
        <v>35</v>
      </c>
      <c r="O33">
        <f t="shared" si="4"/>
        <v>1</v>
      </c>
      <c r="AC33">
        <v>1.6</v>
      </c>
      <c r="AD33" s="3">
        <f>$D33*MAX(0, (AC33/AC$5-1))</f>
        <v>2.333333333333333</v>
      </c>
      <c r="AI33" s="3">
        <f>IF(O33&gt;0,SUM(Q33+S33+V33+X33+Z33+AB33+AD33+AG33))</f>
        <v>2.333333333333333</v>
      </c>
      <c r="AL33">
        <f t="shared" ref="AL33:AL35" si="9">_xlfn.RANK.EQ(AI33,AI$10:AI$35)</f>
        <v>14</v>
      </c>
    </row>
    <row r="34" spans="1:39">
      <c r="A34" t="s">
        <v>75</v>
      </c>
      <c r="C34" t="s">
        <v>77</v>
      </c>
      <c r="D34">
        <v>53</v>
      </c>
      <c r="E34" t="str">
        <f>IF(AND(F34=1,O34&lt;=5),1,"")</f>
        <v/>
      </c>
      <c r="F34" t="str">
        <f t="shared" si="1"/>
        <v/>
      </c>
      <c r="O34">
        <f t="shared" si="4"/>
        <v>1</v>
      </c>
      <c r="AC34">
        <v>3.1</v>
      </c>
      <c r="AD34" s="3">
        <f>$D34*MAX(0, (AC34/AC$5-1))</f>
        <v>56.533333333333346</v>
      </c>
      <c r="AI34" s="3">
        <f>IF(O34&gt;0,SUM(Q34+S34+V34+X34+Z34+AB34+AD34+AG34))</f>
        <v>56.533333333333346</v>
      </c>
      <c r="AL34">
        <f t="shared" si="9"/>
        <v>11</v>
      </c>
    </row>
    <row r="35" spans="1:39">
      <c r="A35" t="s">
        <v>75</v>
      </c>
      <c r="C35" t="s">
        <v>78</v>
      </c>
      <c r="D35">
        <v>37</v>
      </c>
      <c r="E35" t="str">
        <f>IF(AND(F35=1,O35&lt;=5),1,"")</f>
        <v/>
      </c>
      <c r="F35" t="str">
        <f t="shared" si="1"/>
        <v/>
      </c>
      <c r="O35">
        <f t="shared" si="4"/>
        <v>1</v>
      </c>
      <c r="AC35">
        <v>2</v>
      </c>
      <c r="AD35" s="3">
        <f>$D35*MAX(0, (AC35/AC$5-1))</f>
        <v>12.33333333333333</v>
      </c>
      <c r="AI35" s="3">
        <f>IF(O35&gt;0,SUM(Q35+S35+V35+X35+Z35+AB35+AD35+AG35))</f>
        <v>12.33333333333333</v>
      </c>
      <c r="AL35">
        <f t="shared" si="9"/>
        <v>13</v>
      </c>
    </row>
    <row r="36" spans="1:39" s="1" customFormat="1">
      <c r="A36" s="1" t="s">
        <v>79</v>
      </c>
      <c r="B36" s="1" t="s">
        <v>55</v>
      </c>
      <c r="C36" s="1">
        <v>2094</v>
      </c>
      <c r="D36" s="1">
        <f>SUM(D33:D35)</f>
        <v>125</v>
      </c>
      <c r="E36" s="1" t="str">
        <f>IF(AND(F36=1,O36&lt;=5),1,"")</f>
        <v/>
      </c>
      <c r="F36" s="1">
        <f>SUMIF(F34:F35,"&gt;0", D34:D35)</f>
        <v>0</v>
      </c>
      <c r="I36" s="10"/>
      <c r="J36" s="11">
        <f>SUM(J34:J35)</f>
        <v>0</v>
      </c>
      <c r="K36" s="10">
        <f>J36</f>
        <v>0</v>
      </c>
      <c r="L36">
        <f>_xlfn.RANK.EQ(J36,J$13:J$66)</f>
        <v>18</v>
      </c>
      <c r="O36" s="1" t="str">
        <f t="shared" si="4"/>
        <v/>
      </c>
      <c r="Q36" s="11"/>
      <c r="V36" s="11"/>
      <c r="X36" s="11"/>
      <c r="AI36" s="11">
        <f>SUM(AI33:AI35)</f>
        <v>71.200000000000017</v>
      </c>
      <c r="AJ36" s="1">
        <f>SUM(AJ34:AJ35)</f>
        <v>0</v>
      </c>
      <c r="AM36"/>
    </row>
    <row r="37" spans="1:39" s="1" customFormat="1">
      <c r="B37" s="1" t="s">
        <v>56</v>
      </c>
      <c r="C37" s="10">
        <f>D36/C36</f>
        <v>5.9694364851957976E-2</v>
      </c>
      <c r="E37" s="1" t="s">
        <v>57</v>
      </c>
      <c r="F37" s="1">
        <f>F36/C36</f>
        <v>0</v>
      </c>
      <c r="I37" s="10"/>
      <c r="J37" s="11"/>
      <c r="K37" s="10"/>
      <c r="Q37" s="11"/>
      <c r="V37" s="11"/>
      <c r="X37" s="11"/>
      <c r="AH37" s="1" t="s">
        <v>58</v>
      </c>
      <c r="AI37" s="11">
        <f>AI36/SUMIF(AI34:AI35, "&gt;0", D34:D35)</f>
        <v>0.79111111111111132</v>
      </c>
      <c r="AM37"/>
    </row>
    <row r="38" spans="1:39">
      <c r="A38" s="1" t="s">
        <v>80</v>
      </c>
      <c r="E38" t="str">
        <f t="shared" ref="E38:E65" si="10">IF(AND(F38=1,O38&lt;=5),1,"")</f>
        <v/>
      </c>
      <c r="F38" t="str">
        <f t="shared" si="1"/>
        <v/>
      </c>
      <c r="G38" s="1" t="s">
        <v>81</v>
      </c>
      <c r="O38" t="str">
        <f t="shared" si="4"/>
        <v/>
      </c>
      <c r="R38" t="s">
        <v>82</v>
      </c>
    </row>
    <row r="39" spans="1:39">
      <c r="A39" t="s">
        <v>83</v>
      </c>
      <c r="C39" t="s">
        <v>84</v>
      </c>
      <c r="D39">
        <v>176</v>
      </c>
      <c r="E39" t="str">
        <f t="shared" si="10"/>
        <v/>
      </c>
      <c r="F39" t="str">
        <f t="shared" si="1"/>
        <v/>
      </c>
      <c r="O39">
        <f t="shared" si="4"/>
        <v>1</v>
      </c>
      <c r="T39">
        <v>24</v>
      </c>
      <c r="U39">
        <v>9</v>
      </c>
      <c r="V39" s="3">
        <f>D39*U39/T39</f>
        <v>66</v>
      </c>
      <c r="Z39" s="3"/>
      <c r="AJ39" s="3">
        <f>IF(O39&gt;0,SUM(Q39+S39+V39+X39+Z39+AB39+AD39+AG39)," ")</f>
        <v>66</v>
      </c>
      <c r="AM39">
        <f t="shared" si="7"/>
        <v>14</v>
      </c>
    </row>
    <row r="40" spans="1:39">
      <c r="A40" t="s">
        <v>83</v>
      </c>
      <c r="C40" t="s">
        <v>85</v>
      </c>
      <c r="D40">
        <v>16</v>
      </c>
      <c r="E40" t="str">
        <f t="shared" si="10"/>
        <v/>
      </c>
      <c r="F40">
        <f t="shared" si="1"/>
        <v>1</v>
      </c>
      <c r="G40">
        <v>24</v>
      </c>
      <c r="H40">
        <v>2</v>
      </c>
      <c r="I40" s="2">
        <f t="shared" ref="I40:I65" si="11">H40/G40</f>
        <v>8.3333333333333329E-2</v>
      </c>
      <c r="J40" s="3">
        <f>D40*I40</f>
        <v>1.3333333333333333</v>
      </c>
      <c r="L40">
        <f>_xlfn.RANK.EQ(J40,J$13:J$66)</f>
        <v>15</v>
      </c>
      <c r="O40" t="str">
        <f t="shared" si="4"/>
        <v/>
      </c>
      <c r="Z40" s="3"/>
      <c r="AJ40" s="3">
        <f t="shared" ref="AJ40:AJ65" si="12">IF(O40&gt;0,SUM(Q40+S40+V40+X40+Z40+AB40+AD40+AG40)," ")</f>
        <v>0</v>
      </c>
    </row>
    <row r="41" spans="1:39">
      <c r="A41" t="s">
        <v>83</v>
      </c>
      <c r="C41" t="s">
        <v>86</v>
      </c>
      <c r="D41">
        <v>125</v>
      </c>
      <c r="E41" t="str">
        <f t="shared" si="10"/>
        <v/>
      </c>
      <c r="O41">
        <f t="shared" si="4"/>
        <v>1</v>
      </c>
      <c r="T41">
        <v>24</v>
      </c>
      <c r="U41">
        <v>23</v>
      </c>
      <c r="V41" s="3">
        <f>D41*U41/T41</f>
        <v>119.79166666666667</v>
      </c>
      <c r="Y41">
        <v>5</v>
      </c>
      <c r="Z41" s="3">
        <f>D41*Y41/12</f>
        <v>52.083333333333336</v>
      </c>
      <c r="AJ41" s="3">
        <f>IF(O41&gt;0,SUM(Q41+S41+V41+X41+Z41+AB41+AD41+AG41)," ")-V41*Z41/D41</f>
        <v>121.96180555555556</v>
      </c>
      <c r="AM41">
        <f t="shared" si="7"/>
        <v>6</v>
      </c>
    </row>
    <row r="42" spans="1:39">
      <c r="A42" t="s">
        <v>83</v>
      </c>
      <c r="C42" t="s">
        <v>87</v>
      </c>
      <c r="D42">
        <v>57</v>
      </c>
      <c r="E42" t="str">
        <f t="shared" si="10"/>
        <v/>
      </c>
      <c r="F42" t="str">
        <f t="shared" si="1"/>
        <v/>
      </c>
      <c r="O42">
        <f t="shared" si="4"/>
        <v>1</v>
      </c>
      <c r="T42">
        <v>24</v>
      </c>
      <c r="U42">
        <v>1</v>
      </c>
      <c r="V42" s="3">
        <f>D42*U42/T42</f>
        <v>2.375</v>
      </c>
      <c r="Z42" s="3"/>
      <c r="AJ42" s="3">
        <f t="shared" si="12"/>
        <v>2.375</v>
      </c>
      <c r="AM42">
        <f t="shared" si="7"/>
        <v>27</v>
      </c>
    </row>
    <row r="43" spans="1:39">
      <c r="A43" t="s">
        <v>83</v>
      </c>
      <c r="C43" t="s">
        <v>88</v>
      </c>
      <c r="D43">
        <v>113</v>
      </c>
      <c r="E43" t="str">
        <f t="shared" si="10"/>
        <v/>
      </c>
      <c r="F43" t="str">
        <f t="shared" si="1"/>
        <v/>
      </c>
      <c r="O43">
        <f t="shared" si="4"/>
        <v>1</v>
      </c>
      <c r="T43">
        <v>29</v>
      </c>
      <c r="U43">
        <v>29</v>
      </c>
      <c r="V43" s="3">
        <f>D43*U43/T43</f>
        <v>113</v>
      </c>
      <c r="Z43" s="3"/>
      <c r="AJ43" s="3">
        <f t="shared" si="12"/>
        <v>113</v>
      </c>
      <c r="AM43">
        <f t="shared" si="7"/>
        <v>7</v>
      </c>
    </row>
    <row r="44" spans="1:39">
      <c r="A44" t="s">
        <v>83</v>
      </c>
      <c r="C44" t="s">
        <v>89</v>
      </c>
      <c r="D44">
        <v>165</v>
      </c>
      <c r="E44" t="str">
        <f t="shared" si="10"/>
        <v/>
      </c>
      <c r="F44" t="str">
        <f t="shared" si="1"/>
        <v/>
      </c>
      <c r="O44">
        <f t="shared" si="4"/>
        <v>1</v>
      </c>
      <c r="T44">
        <v>24</v>
      </c>
      <c r="U44">
        <v>4</v>
      </c>
      <c r="V44" s="3">
        <f>D44*U44/T44</f>
        <v>27.5</v>
      </c>
      <c r="Y44">
        <v>1</v>
      </c>
      <c r="Z44" s="3">
        <f>D44*Y44/12</f>
        <v>13.75</v>
      </c>
      <c r="AJ44" s="3">
        <f>IF(O44&gt;0,SUM(Q44+S44+V44+X44+Z44+AB44+AD44+AG44)," ")-V44*Z44/D44</f>
        <v>38.958333333333336</v>
      </c>
      <c r="AM44">
        <f t="shared" si="7"/>
        <v>17</v>
      </c>
    </row>
    <row r="45" spans="1:39">
      <c r="A45" t="s">
        <v>83</v>
      </c>
      <c r="C45" t="s">
        <v>90</v>
      </c>
      <c r="D45">
        <v>70</v>
      </c>
      <c r="E45" t="str">
        <f t="shared" si="10"/>
        <v/>
      </c>
      <c r="F45">
        <f t="shared" si="1"/>
        <v>1</v>
      </c>
      <c r="G45">
        <v>24</v>
      </c>
      <c r="H45">
        <v>4</v>
      </c>
      <c r="I45" s="2">
        <f t="shared" si="11"/>
        <v>0.16666666666666666</v>
      </c>
      <c r="J45" s="3">
        <f>D45*I45</f>
        <v>11.666666666666666</v>
      </c>
      <c r="L45">
        <f>_xlfn.RANK.EQ(J45,J$13:J$66)</f>
        <v>5</v>
      </c>
      <c r="O45" t="str">
        <f t="shared" si="4"/>
        <v/>
      </c>
      <c r="Z45" s="3"/>
      <c r="AJ45" s="3">
        <f t="shared" si="12"/>
        <v>0</v>
      </c>
    </row>
    <row r="46" spans="1:39">
      <c r="A46" t="s">
        <v>83</v>
      </c>
      <c r="C46" t="s">
        <v>91</v>
      </c>
      <c r="D46">
        <v>25</v>
      </c>
      <c r="E46" t="str">
        <f t="shared" si="10"/>
        <v/>
      </c>
      <c r="F46">
        <f t="shared" si="1"/>
        <v>1</v>
      </c>
      <c r="G46">
        <v>24</v>
      </c>
      <c r="H46">
        <v>2</v>
      </c>
      <c r="I46" s="2">
        <f t="shared" si="11"/>
        <v>8.3333333333333329E-2</v>
      </c>
      <c r="J46" s="3">
        <f>D46*I46</f>
        <v>2.083333333333333</v>
      </c>
      <c r="L46">
        <f>_xlfn.RANK.EQ(J46,J$13:J$66)</f>
        <v>10</v>
      </c>
      <c r="O46" t="str">
        <f t="shared" si="4"/>
        <v/>
      </c>
      <c r="Z46" s="3"/>
      <c r="AJ46" s="3">
        <f t="shared" si="12"/>
        <v>0</v>
      </c>
    </row>
    <row r="47" spans="1:39">
      <c r="A47" t="s">
        <v>83</v>
      </c>
      <c r="C47" t="s">
        <v>92</v>
      </c>
      <c r="D47">
        <v>76</v>
      </c>
      <c r="E47" t="str">
        <f t="shared" si="10"/>
        <v/>
      </c>
      <c r="F47" t="str">
        <f t="shared" si="1"/>
        <v/>
      </c>
      <c r="O47">
        <f t="shared" si="4"/>
        <v>1</v>
      </c>
      <c r="T47">
        <v>24</v>
      </c>
      <c r="U47">
        <v>22</v>
      </c>
      <c r="V47" s="3">
        <f>D47*U47/T47</f>
        <v>69.666666666666671</v>
      </c>
      <c r="Z47" s="3"/>
      <c r="AJ47" s="3">
        <f t="shared" si="12"/>
        <v>69.666666666666671</v>
      </c>
      <c r="AM47">
        <f t="shared" si="7"/>
        <v>13</v>
      </c>
    </row>
    <row r="48" spans="1:39">
      <c r="A48" t="s">
        <v>83</v>
      </c>
      <c r="C48" t="s">
        <v>93</v>
      </c>
      <c r="D48">
        <v>35</v>
      </c>
      <c r="E48" t="str">
        <f t="shared" si="10"/>
        <v/>
      </c>
      <c r="F48">
        <f t="shared" si="1"/>
        <v>1</v>
      </c>
      <c r="G48">
        <v>24</v>
      </c>
      <c r="H48">
        <v>1</v>
      </c>
      <c r="I48" s="2">
        <f t="shared" si="11"/>
        <v>4.1666666666666664E-2</v>
      </c>
      <c r="J48" s="3">
        <f>D48*I48</f>
        <v>1.4583333333333333</v>
      </c>
      <c r="L48">
        <f>_xlfn.RANK.EQ(J48,J$13:J$66)</f>
        <v>14</v>
      </c>
      <c r="O48" t="str">
        <f t="shared" si="4"/>
        <v/>
      </c>
      <c r="Z48" s="3"/>
      <c r="AJ48" s="3">
        <f t="shared" si="12"/>
        <v>0</v>
      </c>
    </row>
    <row r="49" spans="1:39">
      <c r="A49" t="s">
        <v>83</v>
      </c>
      <c r="C49" t="s">
        <v>94</v>
      </c>
      <c r="D49">
        <v>47</v>
      </c>
      <c r="E49" t="str">
        <f t="shared" si="10"/>
        <v/>
      </c>
      <c r="F49" t="str">
        <f t="shared" si="1"/>
        <v/>
      </c>
      <c r="O49">
        <f t="shared" si="4"/>
        <v>1</v>
      </c>
      <c r="T49">
        <v>24</v>
      </c>
      <c r="U49">
        <v>23</v>
      </c>
      <c r="V49" s="3">
        <f>D49*U49/T49</f>
        <v>45.041666666666664</v>
      </c>
      <c r="Z49" s="3"/>
      <c r="AJ49" s="3">
        <f t="shared" si="12"/>
        <v>45.041666666666664</v>
      </c>
      <c r="AM49">
        <f t="shared" si="7"/>
        <v>16</v>
      </c>
    </row>
    <row r="50" spans="1:39">
      <c r="A50" t="s">
        <v>83</v>
      </c>
      <c r="C50" t="s">
        <v>95</v>
      </c>
      <c r="D50">
        <v>27</v>
      </c>
      <c r="E50" t="str">
        <f t="shared" si="10"/>
        <v/>
      </c>
      <c r="F50">
        <f t="shared" si="1"/>
        <v>1</v>
      </c>
      <c r="G50">
        <v>24</v>
      </c>
      <c r="H50">
        <v>1</v>
      </c>
      <c r="I50" s="2">
        <f t="shared" si="11"/>
        <v>4.1666666666666664E-2</v>
      </c>
      <c r="J50" s="3">
        <f>D50*I50</f>
        <v>1.125</v>
      </c>
      <c r="L50">
        <f>_xlfn.RANK.EQ(J50,J$13:J$66)</f>
        <v>17</v>
      </c>
      <c r="O50" t="str">
        <f t="shared" si="4"/>
        <v/>
      </c>
      <c r="Z50" s="3"/>
      <c r="AJ50" s="3">
        <f t="shared" si="12"/>
        <v>0</v>
      </c>
    </row>
    <row r="51" spans="1:39">
      <c r="A51" t="s">
        <v>83</v>
      </c>
      <c r="C51" t="s">
        <v>96</v>
      </c>
      <c r="D51">
        <v>94</v>
      </c>
      <c r="E51">
        <f t="shared" si="10"/>
        <v>1</v>
      </c>
      <c r="F51">
        <f t="shared" si="1"/>
        <v>1</v>
      </c>
      <c r="G51">
        <v>24</v>
      </c>
      <c r="H51">
        <v>1</v>
      </c>
      <c r="I51" s="2">
        <f t="shared" si="11"/>
        <v>4.1666666666666664E-2</v>
      </c>
      <c r="J51" s="3">
        <f>D51*I51</f>
        <v>3.9166666666666665</v>
      </c>
      <c r="L51">
        <f>_xlfn.RANK.EQ(J51,J$13:J$66)</f>
        <v>7</v>
      </c>
      <c r="O51">
        <f t="shared" si="4"/>
        <v>1</v>
      </c>
      <c r="T51">
        <v>25</v>
      </c>
      <c r="U51">
        <v>25</v>
      </c>
      <c r="V51" s="3">
        <f>D51*U51/T51</f>
        <v>94</v>
      </c>
      <c r="Z51" s="3"/>
      <c r="AJ51" s="3">
        <f t="shared" si="12"/>
        <v>94</v>
      </c>
      <c r="AM51">
        <f t="shared" si="7"/>
        <v>11</v>
      </c>
    </row>
    <row r="52" spans="1:39">
      <c r="A52" t="s">
        <v>83</v>
      </c>
      <c r="C52" t="s">
        <v>97</v>
      </c>
      <c r="D52">
        <v>91</v>
      </c>
      <c r="E52" t="str">
        <f t="shared" si="10"/>
        <v/>
      </c>
      <c r="F52" t="str">
        <f t="shared" si="1"/>
        <v/>
      </c>
      <c r="O52">
        <f t="shared" si="4"/>
        <v>1</v>
      </c>
      <c r="T52">
        <v>24</v>
      </c>
      <c r="U52">
        <v>1</v>
      </c>
      <c r="V52" s="3">
        <f>D52*U52/T52</f>
        <v>3.7916666666666665</v>
      </c>
      <c r="Z52" s="3"/>
      <c r="AJ52" s="3">
        <f t="shared" si="12"/>
        <v>3.7916666666666665</v>
      </c>
      <c r="AM52">
        <f t="shared" si="7"/>
        <v>26</v>
      </c>
    </row>
    <row r="53" spans="1:39">
      <c r="A53" t="s">
        <v>83</v>
      </c>
      <c r="C53" t="s">
        <v>98</v>
      </c>
      <c r="D53">
        <v>45</v>
      </c>
      <c r="E53">
        <f t="shared" si="10"/>
        <v>1</v>
      </c>
      <c r="F53">
        <f t="shared" si="1"/>
        <v>1</v>
      </c>
      <c r="G53">
        <v>24</v>
      </c>
      <c r="H53">
        <v>1</v>
      </c>
      <c r="I53" s="2">
        <f t="shared" si="11"/>
        <v>4.1666666666666664E-2</v>
      </c>
      <c r="J53" s="3">
        <f>D53*I53</f>
        <v>1.875</v>
      </c>
      <c r="L53">
        <f>_xlfn.RANK.EQ(J53,J$13:J$66)</f>
        <v>11</v>
      </c>
      <c r="O53">
        <f t="shared" si="4"/>
        <v>1</v>
      </c>
      <c r="T53">
        <v>24</v>
      </c>
      <c r="U53">
        <v>14</v>
      </c>
      <c r="V53" s="3">
        <f>D53*U53/T53</f>
        <v>26.25</v>
      </c>
      <c r="Z53" s="3"/>
      <c r="AJ53" s="3">
        <f t="shared" si="12"/>
        <v>26.25</v>
      </c>
      <c r="AM53">
        <f t="shared" si="7"/>
        <v>21</v>
      </c>
    </row>
    <row r="54" spans="1:39">
      <c r="A54" t="s">
        <v>83</v>
      </c>
      <c r="C54" t="s">
        <v>99</v>
      </c>
      <c r="D54">
        <v>30</v>
      </c>
      <c r="E54" t="str">
        <f t="shared" si="10"/>
        <v/>
      </c>
      <c r="F54">
        <f t="shared" si="1"/>
        <v>1</v>
      </c>
      <c r="G54">
        <v>24</v>
      </c>
      <c r="H54">
        <v>3</v>
      </c>
      <c r="I54" s="2">
        <f t="shared" si="11"/>
        <v>0.125</v>
      </c>
      <c r="J54" s="3">
        <f>D54*I54</f>
        <v>3.75</v>
      </c>
      <c r="L54">
        <f>_xlfn.RANK.EQ(J54,J$13:J$66)</f>
        <v>8</v>
      </c>
      <c r="O54" t="str">
        <f t="shared" si="4"/>
        <v/>
      </c>
      <c r="Z54" s="3"/>
      <c r="AJ54" s="3">
        <f t="shared" si="12"/>
        <v>0</v>
      </c>
    </row>
    <row r="55" spans="1:39">
      <c r="A55" t="s">
        <v>83</v>
      </c>
      <c r="C55" t="s">
        <v>100</v>
      </c>
      <c r="D55">
        <v>125</v>
      </c>
      <c r="E55" t="str">
        <f t="shared" si="10"/>
        <v/>
      </c>
      <c r="F55" t="str">
        <f t="shared" si="1"/>
        <v/>
      </c>
      <c r="O55">
        <f t="shared" si="4"/>
        <v>1</v>
      </c>
      <c r="T55">
        <v>26</v>
      </c>
      <c r="U55">
        <v>26</v>
      </c>
      <c r="V55" s="3">
        <f>D55*U55/T55</f>
        <v>125</v>
      </c>
      <c r="Z55" s="3"/>
      <c r="AJ55" s="3">
        <f t="shared" si="12"/>
        <v>125</v>
      </c>
      <c r="AM55">
        <f t="shared" si="7"/>
        <v>5</v>
      </c>
    </row>
    <row r="56" spans="1:39">
      <c r="A56" t="s">
        <v>83</v>
      </c>
      <c r="C56" t="s">
        <v>101</v>
      </c>
      <c r="D56">
        <v>129</v>
      </c>
      <c r="E56" t="str">
        <f t="shared" si="10"/>
        <v/>
      </c>
      <c r="F56" t="str">
        <f t="shared" si="1"/>
        <v/>
      </c>
      <c r="O56">
        <f t="shared" si="4"/>
        <v>1</v>
      </c>
      <c r="Y56">
        <v>3</v>
      </c>
      <c r="Z56" s="3">
        <f>D56*Y56/12</f>
        <v>32.25</v>
      </c>
      <c r="AJ56" s="3">
        <f t="shared" si="12"/>
        <v>32.25</v>
      </c>
      <c r="AM56">
        <f t="shared" si="7"/>
        <v>18</v>
      </c>
    </row>
    <row r="57" spans="1:39">
      <c r="A57" t="s">
        <v>83</v>
      </c>
      <c r="C57" t="s">
        <v>102</v>
      </c>
      <c r="D57">
        <v>30</v>
      </c>
      <c r="E57">
        <f t="shared" si="10"/>
        <v>1</v>
      </c>
      <c r="F57">
        <f t="shared" si="1"/>
        <v>1</v>
      </c>
      <c r="G57">
        <v>24</v>
      </c>
      <c r="H57">
        <v>1</v>
      </c>
      <c r="I57" s="2">
        <f t="shared" si="11"/>
        <v>4.1666666666666664E-2</v>
      </c>
      <c r="J57" s="3">
        <f>D57*I57</f>
        <v>1.25</v>
      </c>
      <c r="L57">
        <f>_xlfn.RANK.EQ(J57,J$13:J$66)</f>
        <v>16</v>
      </c>
      <c r="O57">
        <f t="shared" si="4"/>
        <v>1</v>
      </c>
      <c r="T57">
        <v>24</v>
      </c>
      <c r="U57">
        <v>22</v>
      </c>
      <c r="V57" s="3">
        <f>D57*U57/T57</f>
        <v>27.5</v>
      </c>
      <c r="Z57" s="3"/>
      <c r="AJ57" s="3">
        <f t="shared" si="12"/>
        <v>27.5</v>
      </c>
      <c r="AM57">
        <f t="shared" si="7"/>
        <v>19</v>
      </c>
    </row>
    <row r="58" spans="1:39">
      <c r="A58" t="s">
        <v>83</v>
      </c>
      <c r="C58" t="s">
        <v>103</v>
      </c>
      <c r="D58">
        <v>40</v>
      </c>
      <c r="E58" t="str">
        <f t="shared" si="10"/>
        <v/>
      </c>
      <c r="F58" t="str">
        <f t="shared" si="1"/>
        <v/>
      </c>
      <c r="O58">
        <f t="shared" si="4"/>
        <v>1</v>
      </c>
      <c r="Y58">
        <v>8</v>
      </c>
      <c r="Z58" s="3">
        <f>D58*Y58/12</f>
        <v>26.666666666666668</v>
      </c>
      <c r="AJ58" s="3">
        <f t="shared" si="12"/>
        <v>26.666666666666668</v>
      </c>
      <c r="AM58">
        <f t="shared" si="7"/>
        <v>20</v>
      </c>
    </row>
    <row r="59" spans="1:39">
      <c r="A59" t="s">
        <v>83</v>
      </c>
      <c r="C59" t="s">
        <v>104</v>
      </c>
      <c r="D59">
        <v>62</v>
      </c>
      <c r="E59" t="str">
        <f t="shared" si="10"/>
        <v/>
      </c>
      <c r="F59" t="str">
        <f t="shared" si="1"/>
        <v/>
      </c>
      <c r="O59">
        <f t="shared" si="4"/>
        <v>1</v>
      </c>
      <c r="T59">
        <v>24</v>
      </c>
      <c r="U59">
        <v>2</v>
      </c>
      <c r="V59" s="3">
        <f t="shared" ref="V59:V65" si="13">D59*U59/T59</f>
        <v>5.166666666666667</v>
      </c>
      <c r="Z59" s="3"/>
      <c r="AJ59" s="3">
        <f t="shared" si="12"/>
        <v>5.166666666666667</v>
      </c>
      <c r="AM59">
        <f t="shared" si="7"/>
        <v>25</v>
      </c>
    </row>
    <row r="60" spans="1:39">
      <c r="A60" t="s">
        <v>83</v>
      </c>
      <c r="C60" t="s">
        <v>105</v>
      </c>
      <c r="D60">
        <v>67</v>
      </c>
      <c r="E60" t="str">
        <f t="shared" si="10"/>
        <v/>
      </c>
      <c r="F60" t="str">
        <f t="shared" si="1"/>
        <v/>
      </c>
      <c r="O60">
        <f t="shared" si="4"/>
        <v>1</v>
      </c>
      <c r="T60">
        <v>24</v>
      </c>
      <c r="U60">
        <v>3</v>
      </c>
      <c r="V60" s="3">
        <f t="shared" si="13"/>
        <v>8.375</v>
      </c>
      <c r="Z60" s="3"/>
      <c r="AJ60" s="3">
        <f t="shared" si="12"/>
        <v>8.375</v>
      </c>
      <c r="AM60">
        <f t="shared" si="7"/>
        <v>24</v>
      </c>
    </row>
    <row r="61" spans="1:39">
      <c r="A61" t="s">
        <v>83</v>
      </c>
      <c r="C61" t="s">
        <v>106</v>
      </c>
      <c r="D61">
        <v>184</v>
      </c>
      <c r="E61" t="str">
        <f t="shared" si="10"/>
        <v/>
      </c>
      <c r="F61" t="str">
        <f t="shared" si="1"/>
        <v/>
      </c>
      <c r="O61">
        <f t="shared" si="4"/>
        <v>1</v>
      </c>
      <c r="T61">
        <v>24</v>
      </c>
      <c r="U61">
        <v>2</v>
      </c>
      <c r="V61" s="3">
        <f t="shared" si="13"/>
        <v>15.333333333333334</v>
      </c>
      <c r="AJ61" s="3">
        <f t="shared" si="12"/>
        <v>15.333333333333334</v>
      </c>
      <c r="AM61">
        <f t="shared" si="7"/>
        <v>22</v>
      </c>
    </row>
    <row r="62" spans="1:39">
      <c r="A62" t="s">
        <v>83</v>
      </c>
      <c r="C62" t="s">
        <v>107</v>
      </c>
      <c r="D62">
        <v>127</v>
      </c>
      <c r="E62" t="str">
        <f t="shared" si="10"/>
        <v/>
      </c>
      <c r="F62" t="str">
        <f t="shared" si="1"/>
        <v/>
      </c>
      <c r="O62">
        <f t="shared" si="4"/>
        <v>1</v>
      </c>
      <c r="T62">
        <v>24</v>
      </c>
      <c r="U62">
        <v>21</v>
      </c>
      <c r="V62" s="3">
        <f t="shared" si="13"/>
        <v>111.125</v>
      </c>
      <c r="AJ62" s="3">
        <f t="shared" si="12"/>
        <v>111.125</v>
      </c>
      <c r="AM62">
        <f t="shared" si="7"/>
        <v>8</v>
      </c>
    </row>
    <row r="63" spans="1:39">
      <c r="A63" t="s">
        <v>83</v>
      </c>
      <c r="C63" t="s">
        <v>108</v>
      </c>
      <c r="D63">
        <v>576</v>
      </c>
      <c r="E63" t="str">
        <f t="shared" si="10"/>
        <v/>
      </c>
      <c r="F63" t="str">
        <f t="shared" si="1"/>
        <v/>
      </c>
      <c r="O63">
        <f t="shared" si="4"/>
        <v>1</v>
      </c>
      <c r="T63">
        <v>24</v>
      </c>
      <c r="U63">
        <v>24</v>
      </c>
      <c r="V63" s="3">
        <f t="shared" si="13"/>
        <v>576</v>
      </c>
      <c r="AJ63" s="3">
        <f t="shared" si="12"/>
        <v>576</v>
      </c>
      <c r="AM63">
        <f t="shared" si="7"/>
        <v>3</v>
      </c>
    </row>
    <row r="64" spans="1:39">
      <c r="A64" t="s">
        <v>83</v>
      </c>
      <c r="C64" t="s">
        <v>109</v>
      </c>
      <c r="D64">
        <v>151</v>
      </c>
      <c r="E64" t="str">
        <f t="shared" si="10"/>
        <v/>
      </c>
      <c r="F64" t="str">
        <f t="shared" si="1"/>
        <v/>
      </c>
      <c r="O64">
        <f t="shared" si="4"/>
        <v>1</v>
      </c>
      <c r="T64">
        <v>24</v>
      </c>
      <c r="U64">
        <v>20</v>
      </c>
      <c r="V64" s="3">
        <f t="shared" si="13"/>
        <v>125.83333333333333</v>
      </c>
      <c r="AJ64" s="3">
        <f t="shared" si="12"/>
        <v>125.83333333333333</v>
      </c>
      <c r="AM64">
        <f t="shared" si="7"/>
        <v>4</v>
      </c>
    </row>
    <row r="65" spans="1:39">
      <c r="A65" t="s">
        <v>83</v>
      </c>
      <c r="C65" t="s">
        <v>110</v>
      </c>
      <c r="D65">
        <v>52</v>
      </c>
      <c r="E65">
        <f t="shared" si="10"/>
        <v>1</v>
      </c>
      <c r="F65">
        <f t="shared" si="1"/>
        <v>1</v>
      </c>
      <c r="G65">
        <v>24</v>
      </c>
      <c r="H65">
        <v>1</v>
      </c>
      <c r="I65" s="2">
        <f t="shared" si="11"/>
        <v>4.1666666666666664E-2</v>
      </c>
      <c r="J65" s="3">
        <f>D65*I65</f>
        <v>2.1666666666666665</v>
      </c>
      <c r="L65">
        <f>_xlfn.RANK.EQ(J65,J$13:J$66)</f>
        <v>9</v>
      </c>
      <c r="O65">
        <f t="shared" si="4"/>
        <v>1</v>
      </c>
      <c r="T65">
        <v>24</v>
      </c>
      <c r="U65">
        <v>4</v>
      </c>
      <c r="V65" s="3">
        <f t="shared" si="13"/>
        <v>8.6666666666666661</v>
      </c>
      <c r="AJ65" s="3">
        <f t="shared" si="12"/>
        <v>8.6666666666666661</v>
      </c>
      <c r="AM65">
        <f t="shared" si="7"/>
        <v>23</v>
      </c>
    </row>
    <row r="66" spans="1:39" s="1" customFormat="1">
      <c r="A66" s="1" t="s">
        <v>111</v>
      </c>
      <c r="B66" s="1" t="s">
        <v>112</v>
      </c>
      <c r="C66" s="1">
        <v>2735</v>
      </c>
      <c r="D66" s="1">
        <f>SUM( D39:D65)</f>
        <v>2735</v>
      </c>
      <c r="F66" s="1">
        <f>SUMIF(F39:F65,"&gt;0", D39:D65)</f>
        <v>424</v>
      </c>
      <c r="I66" s="10"/>
      <c r="J66" s="11">
        <f>SUM(J39:J65)</f>
        <v>30.625</v>
      </c>
      <c r="K66" s="10">
        <f>J66/F66</f>
        <v>7.2228773584905662E-2</v>
      </c>
      <c r="L66">
        <f>_xlfn.RANK.EQ(J66,J$13:J$66)</f>
        <v>4</v>
      </c>
      <c r="Q66" s="11"/>
      <c r="V66" s="11"/>
      <c r="X66" s="11"/>
      <c r="AI66" s="1">
        <f>SUM(AI39:AI65)</f>
        <v>0</v>
      </c>
      <c r="AJ66" s="11">
        <f>SUM(AJ39:AJ65)</f>
        <v>1642.9618055555554</v>
      </c>
    </row>
    <row r="67" spans="1:39" s="1" customFormat="1">
      <c r="B67" s="1" t="s">
        <v>56</v>
      </c>
      <c r="C67" s="1">
        <f>D66/C66</f>
        <v>1</v>
      </c>
      <c r="E67" s="1" t="s">
        <v>57</v>
      </c>
      <c r="F67" s="10">
        <f>F66/C66</f>
        <v>0.15502742230347349</v>
      </c>
      <c r="I67" s="10"/>
      <c r="J67" s="11"/>
      <c r="K67" s="10"/>
      <c r="Q67" s="11"/>
      <c r="V67" s="11"/>
      <c r="X67" s="11"/>
      <c r="AH67" s="11" t="s">
        <v>72</v>
      </c>
      <c r="AJ67" s="11">
        <f>AJ66/SUMIF(AJ39:AJ65, "&gt;0", D39:D66)</f>
        <v>0.64887907012462698</v>
      </c>
    </row>
    <row r="68" spans="1:39">
      <c r="A68" s="1" t="s">
        <v>113</v>
      </c>
      <c r="D68" s="1">
        <f>D20+D30+D36+D66</f>
        <v>10548</v>
      </c>
      <c r="E68">
        <f>SUMIF(E10:E65,"&gt;0",D10:D65)</f>
        <v>1564</v>
      </c>
      <c r="F68" s="1">
        <f>F20++F30+F36+F66</f>
        <v>3057</v>
      </c>
      <c r="H68" s="1" t="s">
        <v>114</v>
      </c>
      <c r="I68"/>
      <c r="J68" s="11">
        <f>J20+J30+J36+J66</f>
        <v>195.06774300796914</v>
      </c>
      <c r="K68" s="10">
        <f>J68/F68</f>
        <v>6.3810187441272204E-2</v>
      </c>
      <c r="P68" s="1" t="s">
        <v>115</v>
      </c>
      <c r="Q68" s="3">
        <f>SUMIF(O10:O20,"&gt;0",D10:D20)+D34+D35</f>
        <v>3610</v>
      </c>
      <c r="R68" s="1" t="s">
        <v>116</v>
      </c>
      <c r="T68" s="12" t="s">
        <v>117</v>
      </c>
      <c r="U68" s="13"/>
      <c r="V68" s="14"/>
      <c r="W68" s="13"/>
      <c r="X68" s="15">
        <f>AI68/Q68</f>
        <v>1.3737534626038783</v>
      </c>
      <c r="AF68" s="1" t="s">
        <v>118</v>
      </c>
      <c r="AI68" s="11">
        <f>AI20+AI30+AI36+AI66</f>
        <v>4959.2500000000009</v>
      </c>
      <c r="AJ68" s="11">
        <f>AJ20+AJ30+AJ36+AJ66</f>
        <v>3103.0675747863247</v>
      </c>
    </row>
    <row r="69" spans="1:39" ht="43.5">
      <c r="C69" s="7" t="s">
        <v>119</v>
      </c>
      <c r="D69" s="16" t="s">
        <v>120</v>
      </c>
      <c r="E69" s="16" t="s">
        <v>121</v>
      </c>
      <c r="F69" s="16" t="s">
        <v>122</v>
      </c>
      <c r="G69" s="16"/>
      <c r="H69" s="17" t="s">
        <v>123</v>
      </c>
      <c r="I69" s="13"/>
      <c r="J69" s="18">
        <f>J68/F68</f>
        <v>6.3810187441272204E-2</v>
      </c>
      <c r="K69" s="19"/>
      <c r="P69" s="1" t="s">
        <v>124</v>
      </c>
      <c r="Q69" s="3">
        <f>SUMIF(O23:O65,"&gt;0",D23:D65)-D34-D35</f>
        <v>5445</v>
      </c>
      <c r="R69" s="3">
        <f>Q68+Q69</f>
        <v>9055</v>
      </c>
      <c r="T69" s="12" t="s">
        <v>125</v>
      </c>
      <c r="U69" s="13"/>
      <c r="V69" s="14"/>
      <c r="W69" s="13"/>
      <c r="X69" s="15">
        <f>AJ68/Q69</f>
        <v>0.56989303485515608</v>
      </c>
    </row>
    <row r="70" spans="1:39" s="1" customFormat="1">
      <c r="A70"/>
      <c r="B70"/>
      <c r="D70"/>
      <c r="H70" t="s">
        <v>126</v>
      </c>
      <c r="I70"/>
      <c r="J70" s="1">
        <f>SUM(F10:F19)+SUM(F23:F29)+SUM(F33:F35)+SUM(F39:F65)</f>
        <v>14</v>
      </c>
      <c r="K70" s="10"/>
      <c r="N70"/>
      <c r="O70"/>
      <c r="P70" t="s">
        <v>127</v>
      </c>
      <c r="Q70" s="3">
        <f>Q68+Q69+F68-E68</f>
        <v>10548</v>
      </c>
      <c r="R70"/>
      <c r="S70"/>
      <c r="T70" t="s">
        <v>128</v>
      </c>
      <c r="U70"/>
      <c r="V70" s="3"/>
      <c r="W70"/>
      <c r="X70" s="20">
        <f>SUM(O10:O65)</f>
        <v>39</v>
      </c>
      <c r="Y70"/>
      <c r="Z70"/>
      <c r="AA70"/>
      <c r="AB70"/>
      <c r="AC70"/>
      <c r="AD70"/>
      <c r="AE70"/>
      <c r="AF70"/>
      <c r="AG70"/>
      <c r="AH70"/>
      <c r="AI70"/>
      <c r="AJ70"/>
    </row>
    <row r="71" spans="1:39" s="1" customFormat="1">
      <c r="A71"/>
      <c r="B71"/>
      <c r="H71"/>
      <c r="I71" s="2"/>
      <c r="K71" s="10"/>
      <c r="L71"/>
      <c r="M71"/>
      <c r="N71"/>
      <c r="O71"/>
      <c r="P71"/>
      <c r="Q71" s="3"/>
      <c r="R71"/>
      <c r="S71"/>
      <c r="T71"/>
      <c r="U71"/>
      <c r="V71" s="3"/>
      <c r="W71"/>
      <c r="X71" s="3"/>
      <c r="Y71"/>
      <c r="Z71"/>
      <c r="AA71"/>
      <c r="AB71"/>
      <c r="AC71"/>
      <c r="AD71"/>
      <c r="AE71"/>
      <c r="AF71"/>
      <c r="AG71"/>
      <c r="AH71"/>
      <c r="AI71"/>
      <c r="AJ71"/>
    </row>
    <row r="72" spans="1:39" s="1" customFormat="1">
      <c r="A72"/>
      <c r="B72"/>
      <c r="G72"/>
      <c r="H72"/>
      <c r="I72" s="2"/>
      <c r="K72" s="10"/>
      <c r="L72"/>
      <c r="M72"/>
      <c r="N72"/>
      <c r="O72"/>
      <c r="P72"/>
      <c r="Q72" s="3"/>
      <c r="R72"/>
      <c r="S72"/>
      <c r="T72"/>
      <c r="U72"/>
      <c r="V72" s="3"/>
      <c r="W72"/>
      <c r="X72" s="3"/>
      <c r="Y72"/>
      <c r="Z72"/>
      <c r="AA72"/>
      <c r="AB72"/>
      <c r="AC72"/>
      <c r="AD72"/>
      <c r="AE72"/>
      <c r="AF72"/>
      <c r="AG72"/>
      <c r="AH72"/>
      <c r="AI72"/>
      <c r="AJ72"/>
    </row>
    <row r="73" spans="1:39" s="1" customFormat="1">
      <c r="A73" s="1" t="s">
        <v>129</v>
      </c>
      <c r="C73" s="1">
        <f>C20+C30+C36+C66</f>
        <v>42056</v>
      </c>
      <c r="F73" s="10">
        <f>F68/D68</f>
        <v>0.28981797497155859</v>
      </c>
      <c r="G73" s="10"/>
      <c r="H73"/>
      <c r="I73" s="2"/>
      <c r="K73" s="10"/>
      <c r="L73"/>
      <c r="M73"/>
      <c r="N73"/>
      <c r="O73"/>
      <c r="P73"/>
      <c r="Q73" s="3"/>
      <c r="R73"/>
      <c r="S73"/>
      <c r="T73"/>
      <c r="U73"/>
      <c r="V73" s="3"/>
      <c r="W73"/>
      <c r="X73" s="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9" s="1" customFormat="1">
      <c r="A74"/>
      <c r="B74" s="1" t="s">
        <v>130</v>
      </c>
      <c r="C74" s="10">
        <f>D68/C73</f>
        <v>0.25080844588168155</v>
      </c>
      <c r="E74" s="1" t="s">
        <v>131</v>
      </c>
      <c r="F74" s="10">
        <f>F68/C73</f>
        <v>7.268879589119269E-2</v>
      </c>
      <c r="H74"/>
      <c r="I74" s="2"/>
      <c r="K74" s="10"/>
      <c r="L74"/>
      <c r="M74"/>
      <c r="N74"/>
      <c r="O74"/>
      <c r="P74"/>
      <c r="Q74" s="3"/>
      <c r="R74"/>
      <c r="S74"/>
      <c r="T74"/>
      <c r="U74"/>
      <c r="V74" s="3"/>
      <c r="W74"/>
      <c r="X74" s="3"/>
      <c r="Y74"/>
      <c r="Z74"/>
      <c r="AA74"/>
      <c r="AB74"/>
      <c r="AC74"/>
      <c r="AD74"/>
      <c r="AE74"/>
      <c r="AF74"/>
      <c r="AG74"/>
      <c r="AH74"/>
      <c r="AI74"/>
      <c r="AJ74"/>
    </row>
    <row r="75" spans="1:39" s="1" customFormat="1">
      <c r="A75"/>
      <c r="B75"/>
      <c r="H75"/>
      <c r="I75" s="2"/>
      <c r="K75" s="10"/>
      <c r="L75"/>
      <c r="M75"/>
      <c r="N75"/>
      <c r="O75"/>
      <c r="P75"/>
      <c r="Q75" s="3"/>
      <c r="R75"/>
      <c r="S75"/>
      <c r="T75"/>
      <c r="U75"/>
      <c r="V75" s="3"/>
      <c r="W75"/>
      <c r="X75" s="3"/>
      <c r="Y75"/>
      <c r="Z75"/>
      <c r="AA75"/>
      <c r="AB75"/>
      <c r="AC75"/>
      <c r="AD75"/>
      <c r="AE75"/>
      <c r="AF75"/>
      <c r="AG75"/>
      <c r="AH75"/>
      <c r="AI75"/>
      <c r="AJ75"/>
    </row>
    <row r="76" spans="1:39" s="1" customFormat="1">
      <c r="A76"/>
      <c r="B76"/>
      <c r="H76"/>
      <c r="I76" s="2"/>
      <c r="K76" s="10"/>
      <c r="L76"/>
      <c r="M76"/>
      <c r="N76"/>
      <c r="O76"/>
      <c r="P76"/>
      <c r="Q76" s="3"/>
      <c r="R76"/>
      <c r="S76"/>
      <c r="T76"/>
      <c r="U76"/>
      <c r="V76" s="3"/>
      <c r="W76"/>
      <c r="X76" s="3"/>
      <c r="Y76"/>
      <c r="Z76"/>
      <c r="AA76"/>
      <c r="AB76"/>
      <c r="AC76"/>
      <c r="AD76"/>
      <c r="AE76"/>
      <c r="AF76"/>
      <c r="AG76"/>
      <c r="AH76"/>
      <c r="AI76"/>
      <c r="AJ76"/>
    </row>
    <row r="77" spans="1:39" s="1" customFormat="1">
      <c r="A77"/>
      <c r="B77"/>
      <c r="H77"/>
      <c r="I77" s="2"/>
      <c r="K77" s="10"/>
      <c r="L77"/>
      <c r="M77"/>
      <c r="N77"/>
      <c r="O77"/>
      <c r="P77"/>
      <c r="Q77" s="3"/>
      <c r="R77"/>
      <c r="S77"/>
      <c r="T77"/>
      <c r="U77"/>
      <c r="V77" s="3"/>
      <c r="W77"/>
      <c r="X77" s="3"/>
      <c r="Y77"/>
      <c r="Z77"/>
      <c r="AA77"/>
      <c r="AB77"/>
      <c r="AC77"/>
      <c r="AD77"/>
      <c r="AE77"/>
      <c r="AF77"/>
      <c r="AG77"/>
      <c r="AH77"/>
      <c r="AI77"/>
      <c r="AJ77"/>
    </row>
    <row r="78" spans="1:39" s="1" customFormat="1">
      <c r="A78"/>
      <c r="B78"/>
      <c r="H78"/>
      <c r="I78" s="2"/>
      <c r="K78" s="10"/>
      <c r="L78"/>
      <c r="M78"/>
      <c r="N78"/>
      <c r="O78"/>
      <c r="P78"/>
      <c r="Q78" s="3"/>
      <c r="R78"/>
      <c r="S78"/>
      <c r="T78"/>
      <c r="U78"/>
      <c r="V78" s="3"/>
      <c r="W78"/>
      <c r="X78" s="3"/>
      <c r="Y78"/>
      <c r="Z78"/>
      <c r="AA78"/>
      <c r="AB78"/>
      <c r="AC78"/>
      <c r="AD78"/>
      <c r="AE78"/>
      <c r="AF78"/>
      <c r="AG78"/>
      <c r="AH78"/>
      <c r="AI78"/>
      <c r="AJ78"/>
    </row>
    <row r="79" spans="1:39" s="1" customFormat="1">
      <c r="A79"/>
      <c r="B79"/>
      <c r="H79"/>
      <c r="I79" s="2"/>
      <c r="K79" s="10"/>
      <c r="L79"/>
      <c r="M79"/>
      <c r="N79"/>
      <c r="O79"/>
      <c r="P79"/>
      <c r="Q79" s="3"/>
      <c r="R79"/>
      <c r="S79"/>
      <c r="T79"/>
      <c r="U79"/>
      <c r="V79" s="3"/>
      <c r="W79"/>
      <c r="X79" s="3"/>
      <c r="Y79"/>
      <c r="Z79"/>
      <c r="AA79"/>
      <c r="AB79"/>
      <c r="AC79"/>
      <c r="AD79"/>
      <c r="AE79"/>
      <c r="AF79"/>
      <c r="AG79"/>
      <c r="AH79"/>
      <c r="AI79"/>
      <c r="AJ79"/>
    </row>
    <row r="80" spans="1:39">
      <c r="A80" s="1" t="s">
        <v>132</v>
      </c>
    </row>
    <row r="81" spans="1:8">
      <c r="A81" t="s">
        <v>155</v>
      </c>
    </row>
    <row r="82" spans="1:8">
      <c r="A82" t="s">
        <v>133</v>
      </c>
      <c r="D82" t="s">
        <v>134</v>
      </c>
    </row>
    <row r="83" spans="1:8">
      <c r="A83" t="s">
        <v>135</v>
      </c>
      <c r="D83">
        <v>6</v>
      </c>
      <c r="G83" t="s">
        <v>136</v>
      </c>
      <c r="H83">
        <v>1</v>
      </c>
    </row>
    <row r="84" spans="1:8">
      <c r="A84" t="s">
        <v>137</v>
      </c>
      <c r="D84" t="s">
        <v>134</v>
      </c>
    </row>
    <row r="85" spans="1:8">
      <c r="A85" t="s">
        <v>138</v>
      </c>
      <c r="D85">
        <v>13</v>
      </c>
      <c r="G85" t="s">
        <v>136</v>
      </c>
      <c r="H85">
        <v>1</v>
      </c>
    </row>
    <row r="88" spans="1:8">
      <c r="A88" s="1" t="s">
        <v>139</v>
      </c>
    </row>
    <row r="89" spans="1:8">
      <c r="A89" t="s">
        <v>140</v>
      </c>
    </row>
    <row r="91" spans="1:8">
      <c r="A91" s="1" t="s">
        <v>141</v>
      </c>
    </row>
    <row r="92" spans="1:8">
      <c r="A92" t="s">
        <v>142</v>
      </c>
    </row>
    <row r="94" spans="1:8">
      <c r="A94" s="1" t="s">
        <v>143</v>
      </c>
    </row>
    <row r="95" spans="1:8">
      <c r="A95" s="1" t="s">
        <v>144</v>
      </c>
    </row>
    <row r="96" spans="1:8">
      <c r="A96" t="s">
        <v>145</v>
      </c>
    </row>
    <row r="97" spans="1:2">
      <c r="A97" t="s">
        <v>146</v>
      </c>
    </row>
    <row r="98" spans="1:2">
      <c r="A98" t="s">
        <v>147</v>
      </c>
    </row>
    <row r="100" spans="1:2">
      <c r="A100" s="1" t="s">
        <v>148</v>
      </c>
    </row>
    <row r="101" spans="1:2">
      <c r="A101" t="s">
        <v>149</v>
      </c>
      <c r="B101" t="s">
        <v>150</v>
      </c>
    </row>
    <row r="102" spans="1:2">
      <c r="A102" t="s">
        <v>151</v>
      </c>
      <c r="B102" t="s">
        <v>152</v>
      </c>
    </row>
    <row r="103" spans="1:2">
      <c r="A103" t="s">
        <v>153</v>
      </c>
    </row>
    <row r="104" spans="1:2">
      <c r="A104" t="s">
        <v>154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5" fitToWidth="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274CF-A45E-4DA7-A33B-6D781CD14DE6}">
  <dimension ref="A1:AM95"/>
  <sheetViews>
    <sheetView tabSelected="1" topLeftCell="Q8" zoomScale="110" zoomScaleNormal="110" workbookViewId="0">
      <selection activeCell="AJ10" sqref="AJ10"/>
    </sheetView>
  </sheetViews>
  <sheetFormatPr defaultRowHeight="14.5"/>
  <cols>
    <col min="1" max="1" width="20.54296875" customWidth="1"/>
    <col min="2" max="2" width="13.7265625" customWidth="1"/>
    <col min="3" max="3" width="12.26953125" customWidth="1"/>
    <col min="4" max="5" width="11.26953125" customWidth="1"/>
    <col min="7" max="7" width="11.453125" customWidth="1"/>
    <col min="8" max="8" width="16.1796875" customWidth="1"/>
    <col min="9" max="9" width="9.1796875" style="2"/>
    <col min="10" max="10" width="9.1796875" style="3"/>
    <col min="11" max="11" width="9.1796875" style="2"/>
    <col min="12" max="13" width="12.1796875" customWidth="1"/>
    <col min="16" max="16" width="12.26953125" customWidth="1"/>
    <col min="17" max="17" width="11.453125" style="3" customWidth="1"/>
    <col min="20" max="20" width="12.453125" customWidth="1"/>
    <col min="21" max="21" width="11.453125" customWidth="1"/>
    <col min="22" max="22" width="11.453125" style="3" customWidth="1"/>
    <col min="23" max="23" width="12.26953125" customWidth="1"/>
    <col min="24" max="24" width="12.26953125" style="3" customWidth="1"/>
    <col min="25" max="26" width="12.26953125" customWidth="1"/>
    <col min="27" max="27" width="11.26953125" customWidth="1"/>
    <col min="29" max="30" width="9.1796875" customWidth="1"/>
    <col min="31" max="31" width="10.453125" customWidth="1"/>
    <col min="32" max="32" width="10.81640625" customWidth="1"/>
    <col min="35" max="35" width="14.453125" customWidth="1"/>
    <col min="36" max="36" width="13.7265625" customWidth="1"/>
  </cols>
  <sheetData>
    <row r="1" spans="1:39">
      <c r="A1" s="1" t="s">
        <v>158</v>
      </c>
    </row>
    <row r="3" spans="1:39" s="4" customFormat="1" ht="27.75" customHeight="1">
      <c r="A3" s="4" t="s">
        <v>1</v>
      </c>
      <c r="H3" s="4" t="s">
        <v>2</v>
      </c>
      <c r="I3" s="5"/>
      <c r="J3" s="6"/>
      <c r="K3" s="5"/>
      <c r="P3" s="4" t="s">
        <v>3</v>
      </c>
      <c r="Q3" s="6" t="s">
        <v>4</v>
      </c>
      <c r="R3" s="4" t="s">
        <v>5</v>
      </c>
      <c r="S3" s="4" t="s">
        <v>4</v>
      </c>
      <c r="U3" s="4" t="s">
        <v>6</v>
      </c>
      <c r="V3" s="6" t="s">
        <v>4</v>
      </c>
      <c r="W3" s="4" t="s">
        <v>7</v>
      </c>
      <c r="X3" s="6" t="s">
        <v>4</v>
      </c>
      <c r="Y3" s="4" t="s">
        <v>8</v>
      </c>
      <c r="Z3" s="4" t="s">
        <v>9</v>
      </c>
      <c r="AA3" s="4" t="s">
        <v>10</v>
      </c>
      <c r="AB3" s="4" t="s">
        <v>4</v>
      </c>
      <c r="AC3" s="4" t="s">
        <v>11</v>
      </c>
      <c r="AD3" s="4" t="s">
        <v>4</v>
      </c>
      <c r="AF3" s="4" t="s">
        <v>12</v>
      </c>
      <c r="AG3" s="4" t="s">
        <v>4</v>
      </c>
      <c r="AI3" s="4" t="s">
        <v>13</v>
      </c>
      <c r="AJ3" s="4" t="s">
        <v>14</v>
      </c>
      <c r="AL3" s="4" t="s">
        <v>156</v>
      </c>
      <c r="AM3" s="4" t="s">
        <v>157</v>
      </c>
    </row>
    <row r="4" spans="1:39" s="7" customFormat="1" ht="28.5" customHeight="1">
      <c r="G4" s="7" t="s">
        <v>15</v>
      </c>
      <c r="H4" s="7" t="s">
        <v>16</v>
      </c>
      <c r="I4" s="8" t="s">
        <v>17</v>
      </c>
      <c r="J4" s="9" t="s">
        <v>18</v>
      </c>
      <c r="K4" s="8" t="s">
        <v>19</v>
      </c>
      <c r="L4" s="7" t="s">
        <v>20</v>
      </c>
      <c r="Q4" s="9" t="s">
        <v>21</v>
      </c>
      <c r="S4" s="9" t="s">
        <v>21</v>
      </c>
      <c r="T4" s="7" t="s">
        <v>22</v>
      </c>
      <c r="U4" s="7" t="s">
        <v>23</v>
      </c>
      <c r="V4" s="7" t="s">
        <v>24</v>
      </c>
      <c r="X4" s="9" t="s">
        <v>21</v>
      </c>
      <c r="Y4" s="7" t="s">
        <v>23</v>
      </c>
      <c r="Z4" s="7" t="s">
        <v>24</v>
      </c>
      <c r="AB4" s="9" t="s">
        <v>21</v>
      </c>
      <c r="AD4" s="9" t="s">
        <v>21</v>
      </c>
      <c r="AE4" s="7" t="s">
        <v>15</v>
      </c>
      <c r="AF4" s="7" t="s">
        <v>23</v>
      </c>
      <c r="AG4" s="7" t="s">
        <v>24</v>
      </c>
    </row>
    <row r="5" spans="1:39">
      <c r="A5" s="1" t="s">
        <v>25</v>
      </c>
      <c r="H5">
        <v>0</v>
      </c>
      <c r="P5">
        <v>3.0000000000000001E-3</v>
      </c>
      <c r="R5">
        <v>2</v>
      </c>
      <c r="U5">
        <v>50</v>
      </c>
      <c r="W5">
        <v>0.5</v>
      </c>
      <c r="AA5">
        <v>0.02</v>
      </c>
      <c r="AC5">
        <v>1.5</v>
      </c>
      <c r="AF5">
        <v>0.25</v>
      </c>
    </row>
    <row r="7" spans="1:39" s="1" customForma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I7" s="10"/>
      <c r="J7" s="11"/>
      <c r="K7" s="10"/>
      <c r="L7"/>
      <c r="M7"/>
      <c r="O7" s="1" t="s">
        <v>32</v>
      </c>
      <c r="Q7" s="11"/>
      <c r="V7" s="11"/>
      <c r="X7" s="11"/>
    </row>
    <row r="8" spans="1:39">
      <c r="D8" t="s">
        <v>33</v>
      </c>
      <c r="E8" s="1" t="s">
        <v>34</v>
      </c>
      <c r="F8" s="1" t="s">
        <v>34</v>
      </c>
      <c r="O8" s="1" t="s">
        <v>34</v>
      </c>
    </row>
    <row r="9" spans="1:39">
      <c r="A9" s="1" t="s">
        <v>159</v>
      </c>
      <c r="E9" s="1"/>
      <c r="F9" s="1"/>
      <c r="O9" s="1"/>
      <c r="AJ9" t="s">
        <v>162</v>
      </c>
    </row>
    <row r="10" spans="1:39">
      <c r="A10" t="s">
        <v>36</v>
      </c>
      <c r="B10" t="s">
        <v>37</v>
      </c>
      <c r="C10" t="s">
        <v>38</v>
      </c>
      <c r="D10">
        <v>378</v>
      </c>
      <c r="E10" t="str">
        <f t="shared" ref="E10:E20" si="0">IF(AND(F10=1,O10&lt;=5),1,"")</f>
        <v/>
      </c>
      <c r="F10" t="str">
        <f t="shared" ref="F10:F20" si="1">IF(I10&gt;0,1,"")</f>
        <v/>
      </c>
      <c r="M10">
        <f t="shared" ref="M10:M21" si="2">L10</f>
        <v>0</v>
      </c>
      <c r="O10">
        <f t="shared" ref="O10:O21" si="3">IF(SUM(P10:AF10)&gt;0,1,"")</f>
        <v>1</v>
      </c>
      <c r="W10">
        <v>2.6</v>
      </c>
      <c r="X10" s="3">
        <f>$D10*MAX(0, (W10/W$5-1))</f>
        <v>1587.6000000000001</v>
      </c>
      <c r="AI10" s="3">
        <f t="shared" ref="AI10:AI17" si="4">IF(O10&gt;0,SUM(Q10+S10+V10+X10+AB10+AD10+AG10))</f>
        <v>1587.6000000000001</v>
      </c>
      <c r="AJ10" s="21">
        <f>ROUND(AI10,3-(1+INT(LOG10(ABS(AI10)))))</f>
        <v>1590</v>
      </c>
      <c r="AL10">
        <f t="shared" ref="AL10:AL21" si="5">_xlfn.RANK.EQ(AI10,AI$10:AI$56)</f>
        <v>1</v>
      </c>
    </row>
    <row r="11" spans="1:39">
      <c r="A11" t="s">
        <v>36</v>
      </c>
      <c r="B11" t="s">
        <v>37</v>
      </c>
      <c r="C11" t="s">
        <v>39</v>
      </c>
      <c r="D11">
        <v>503</v>
      </c>
      <c r="E11" t="str">
        <f t="shared" si="0"/>
        <v/>
      </c>
      <c r="F11" t="str">
        <f t="shared" si="1"/>
        <v/>
      </c>
      <c r="M11">
        <f t="shared" si="2"/>
        <v>0</v>
      </c>
      <c r="O11">
        <f t="shared" si="3"/>
        <v>1</v>
      </c>
      <c r="W11">
        <v>1.9</v>
      </c>
      <c r="X11" s="3">
        <f>$D11*MAX(0, (W11/W$5-1))</f>
        <v>1408.3999999999999</v>
      </c>
      <c r="AI11" s="3">
        <f t="shared" si="4"/>
        <v>1408.3999999999999</v>
      </c>
      <c r="AJ11" s="21">
        <f t="shared" ref="AJ11:AJ21" si="6">ROUND(AI11,3-(1+INT(LOG10(ABS(AI11)))))</f>
        <v>1410</v>
      </c>
      <c r="AL11">
        <f t="shared" si="5"/>
        <v>2</v>
      </c>
    </row>
    <row r="12" spans="1:39">
      <c r="A12" t="s">
        <v>36</v>
      </c>
      <c r="B12" t="s">
        <v>40</v>
      </c>
      <c r="C12" t="s">
        <v>41</v>
      </c>
      <c r="D12">
        <v>531</v>
      </c>
      <c r="E12" t="str">
        <f t="shared" si="0"/>
        <v/>
      </c>
      <c r="F12" t="str">
        <f t="shared" si="1"/>
        <v/>
      </c>
      <c r="M12">
        <f t="shared" si="2"/>
        <v>0</v>
      </c>
      <c r="O12">
        <f t="shared" si="3"/>
        <v>1</v>
      </c>
      <c r="P12">
        <v>8.0000000000000002E-3</v>
      </c>
      <c r="Q12" s="3">
        <f>$D12*MAX(0, (P12/P$5-1))</f>
        <v>884.99999999999989</v>
      </c>
      <c r="AI12" s="3">
        <f t="shared" si="4"/>
        <v>884.99999999999989</v>
      </c>
      <c r="AJ12" s="21">
        <f t="shared" si="6"/>
        <v>885</v>
      </c>
      <c r="AL12">
        <f t="shared" si="5"/>
        <v>3</v>
      </c>
    </row>
    <row r="13" spans="1:39">
      <c r="A13" t="s">
        <v>36</v>
      </c>
      <c r="B13" t="s">
        <v>48</v>
      </c>
      <c r="C13" t="s">
        <v>49</v>
      </c>
      <c r="D13">
        <v>239</v>
      </c>
      <c r="E13" t="str">
        <f t="shared" si="0"/>
        <v/>
      </c>
      <c r="F13" t="str">
        <f t="shared" si="1"/>
        <v/>
      </c>
      <c r="M13">
        <f t="shared" si="2"/>
        <v>0</v>
      </c>
      <c r="O13">
        <f t="shared" si="3"/>
        <v>1</v>
      </c>
      <c r="AA13">
        <v>4.8000000000000001E-2</v>
      </c>
      <c r="AB13" s="3">
        <f>$D13*MAX(0, (AA13/AA$5-1))</f>
        <v>334.59999999999997</v>
      </c>
      <c r="AI13" s="3">
        <f t="shared" si="4"/>
        <v>334.59999999999997</v>
      </c>
      <c r="AJ13" s="21">
        <f t="shared" si="6"/>
        <v>335</v>
      </c>
      <c r="AL13">
        <f t="shared" si="5"/>
        <v>4</v>
      </c>
    </row>
    <row r="14" spans="1:39">
      <c r="A14" t="s">
        <v>36</v>
      </c>
      <c r="B14" t="s">
        <v>40</v>
      </c>
      <c r="C14" t="s">
        <v>43</v>
      </c>
      <c r="D14">
        <v>618</v>
      </c>
      <c r="E14" t="str">
        <f t="shared" si="0"/>
        <v/>
      </c>
      <c r="F14" t="str">
        <f t="shared" si="1"/>
        <v/>
      </c>
      <c r="M14">
        <f t="shared" si="2"/>
        <v>0</v>
      </c>
      <c r="O14">
        <f t="shared" si="3"/>
        <v>1</v>
      </c>
      <c r="W14">
        <v>0.6</v>
      </c>
      <c r="X14" s="3">
        <f>$D14*MAX(0, (W14/W$5-1))</f>
        <v>123.59999999999997</v>
      </c>
      <c r="AI14" s="3">
        <f t="shared" si="4"/>
        <v>123.59999999999997</v>
      </c>
      <c r="AJ14" s="21">
        <f t="shared" si="6"/>
        <v>124</v>
      </c>
      <c r="AL14">
        <f t="shared" si="5"/>
        <v>6</v>
      </c>
    </row>
    <row r="15" spans="1:39">
      <c r="A15" t="s">
        <v>36</v>
      </c>
      <c r="B15" t="s">
        <v>44</v>
      </c>
      <c r="C15" t="s">
        <v>45</v>
      </c>
      <c r="D15">
        <v>301</v>
      </c>
      <c r="E15" t="str">
        <f t="shared" si="0"/>
        <v/>
      </c>
      <c r="F15" t="str">
        <f t="shared" si="1"/>
        <v/>
      </c>
      <c r="M15">
        <f t="shared" si="2"/>
        <v>0</v>
      </c>
      <c r="O15">
        <f t="shared" si="3"/>
        <v>1</v>
      </c>
      <c r="AA15">
        <v>2.5000000000000001E-2</v>
      </c>
      <c r="AB15" s="3">
        <f>$D15*MAX(0, (AA15/AA$5-1))</f>
        <v>75.25</v>
      </c>
      <c r="AI15" s="3">
        <f t="shared" si="4"/>
        <v>75.25</v>
      </c>
      <c r="AJ15" s="21">
        <f t="shared" si="6"/>
        <v>75.3</v>
      </c>
      <c r="AL15">
        <f t="shared" si="5"/>
        <v>7</v>
      </c>
    </row>
    <row r="16" spans="1:39">
      <c r="A16" t="s">
        <v>36</v>
      </c>
      <c r="B16" t="s">
        <v>48</v>
      </c>
      <c r="C16" t="s">
        <v>50</v>
      </c>
      <c r="D16">
        <v>236</v>
      </c>
      <c r="E16" t="str">
        <f t="shared" si="0"/>
        <v/>
      </c>
      <c r="F16" t="str">
        <f t="shared" si="1"/>
        <v/>
      </c>
      <c r="M16">
        <f t="shared" si="2"/>
        <v>0</v>
      </c>
      <c r="O16">
        <f t="shared" si="3"/>
        <v>1</v>
      </c>
      <c r="AC16">
        <v>1.9</v>
      </c>
      <c r="AD16" s="3">
        <f t="shared" ref="AD16:AD21" si="7">$D16*MAX(0, (AC16/AC$5-1))</f>
        <v>62.933333333333323</v>
      </c>
      <c r="AI16" s="3">
        <f t="shared" si="4"/>
        <v>62.933333333333323</v>
      </c>
      <c r="AJ16" s="21">
        <f t="shared" si="6"/>
        <v>62.9</v>
      </c>
      <c r="AL16">
        <f t="shared" si="5"/>
        <v>8</v>
      </c>
    </row>
    <row r="17" spans="1:39">
      <c r="A17" t="s">
        <v>36</v>
      </c>
      <c r="B17" t="s">
        <v>48</v>
      </c>
      <c r="C17" t="s">
        <v>51</v>
      </c>
      <c r="D17">
        <v>220</v>
      </c>
      <c r="E17" t="str">
        <f t="shared" si="0"/>
        <v/>
      </c>
      <c r="F17" t="str">
        <f t="shared" si="1"/>
        <v/>
      </c>
      <c r="M17">
        <f t="shared" si="2"/>
        <v>0</v>
      </c>
      <c r="O17">
        <f t="shared" si="3"/>
        <v>1</v>
      </c>
      <c r="AC17">
        <v>1.9</v>
      </c>
      <c r="AD17" s="3">
        <f t="shared" si="7"/>
        <v>58.666666666666657</v>
      </c>
      <c r="AI17" s="3">
        <f t="shared" si="4"/>
        <v>58.666666666666657</v>
      </c>
      <c r="AJ17" s="21">
        <f t="shared" si="6"/>
        <v>58.7</v>
      </c>
      <c r="AL17">
        <f t="shared" si="5"/>
        <v>9</v>
      </c>
    </row>
    <row r="18" spans="1:39">
      <c r="A18" t="s">
        <v>75</v>
      </c>
      <c r="C18" t="s">
        <v>77</v>
      </c>
      <c r="D18">
        <v>53</v>
      </c>
      <c r="E18" t="str">
        <f t="shared" si="0"/>
        <v/>
      </c>
      <c r="F18" t="str">
        <f t="shared" si="1"/>
        <v/>
      </c>
      <c r="M18">
        <f t="shared" si="2"/>
        <v>0</v>
      </c>
      <c r="O18">
        <f t="shared" si="3"/>
        <v>1</v>
      </c>
      <c r="AC18">
        <v>3.1</v>
      </c>
      <c r="AD18" s="3">
        <f t="shared" si="7"/>
        <v>56.533333333333346</v>
      </c>
      <c r="AI18" s="3">
        <f>IF(O18&gt;0,SUM(Q18+S18+V18+X18+Z18+AB18+AD18+AG18))</f>
        <v>56.533333333333346</v>
      </c>
      <c r="AJ18" s="21">
        <f t="shared" si="6"/>
        <v>56.5</v>
      </c>
      <c r="AL18">
        <f t="shared" si="5"/>
        <v>10</v>
      </c>
    </row>
    <row r="19" spans="1:39">
      <c r="A19" t="s">
        <v>36</v>
      </c>
      <c r="B19" t="s">
        <v>44</v>
      </c>
      <c r="C19" t="s">
        <v>47</v>
      </c>
      <c r="D19">
        <v>420</v>
      </c>
      <c r="E19" t="str">
        <f t="shared" si="0"/>
        <v/>
      </c>
      <c r="F19" t="str">
        <f t="shared" si="1"/>
        <v/>
      </c>
      <c r="M19">
        <f t="shared" si="2"/>
        <v>0</v>
      </c>
      <c r="O19">
        <f t="shared" si="3"/>
        <v>1</v>
      </c>
      <c r="AC19">
        <v>1.7</v>
      </c>
      <c r="AD19" s="3">
        <f t="shared" si="7"/>
        <v>55.999999999999986</v>
      </c>
      <c r="AI19" s="3">
        <f>IF(O19&gt;0,SUM(Q19+S19+V19+X19+AB19+AD19+AG19))</f>
        <v>55.999999999999986</v>
      </c>
      <c r="AJ19" s="21">
        <f t="shared" si="6"/>
        <v>56</v>
      </c>
      <c r="AL19">
        <f t="shared" si="5"/>
        <v>11</v>
      </c>
    </row>
    <row r="20" spans="1:39">
      <c r="A20" t="s">
        <v>75</v>
      </c>
      <c r="C20" t="s">
        <v>78</v>
      </c>
      <c r="D20">
        <v>37</v>
      </c>
      <c r="E20" t="str">
        <f t="shared" si="0"/>
        <v/>
      </c>
      <c r="F20" t="str">
        <f t="shared" si="1"/>
        <v/>
      </c>
      <c r="M20">
        <f t="shared" si="2"/>
        <v>0</v>
      </c>
      <c r="O20">
        <f t="shared" si="3"/>
        <v>1</v>
      </c>
      <c r="AC20">
        <v>2</v>
      </c>
      <c r="AD20" s="3">
        <f t="shared" si="7"/>
        <v>12.33333333333333</v>
      </c>
      <c r="AI20" s="3">
        <f>IF(O20&gt;0,SUM(Q20+S20+V20+X20+Z20+AB20+AD20+AG20))</f>
        <v>12.33333333333333</v>
      </c>
      <c r="AJ20" s="21">
        <f t="shared" si="6"/>
        <v>12.3</v>
      </c>
      <c r="AL20">
        <f t="shared" si="5"/>
        <v>12</v>
      </c>
    </row>
    <row r="21" spans="1:39">
      <c r="A21" t="s">
        <v>75</v>
      </c>
      <c r="C21" t="s">
        <v>76</v>
      </c>
      <c r="D21">
        <v>35</v>
      </c>
      <c r="M21">
        <f t="shared" si="2"/>
        <v>0</v>
      </c>
      <c r="O21">
        <f t="shared" si="3"/>
        <v>1</v>
      </c>
      <c r="AC21">
        <v>1.6</v>
      </c>
      <c r="AD21" s="3">
        <f t="shared" si="7"/>
        <v>2.333333333333333</v>
      </c>
      <c r="AI21" s="3">
        <f>IF(O21&gt;0,SUM(Q21+S21+V21+X21+Z21+AB21+AD21+AG21))</f>
        <v>2.333333333333333</v>
      </c>
      <c r="AJ21" s="21">
        <f t="shared" si="6"/>
        <v>2.33</v>
      </c>
      <c r="AL21">
        <f t="shared" si="5"/>
        <v>13</v>
      </c>
    </row>
    <row r="22" spans="1:39">
      <c r="AD22" s="3"/>
      <c r="AI22" s="3"/>
    </row>
    <row r="23" spans="1:39">
      <c r="A23" s="1" t="s">
        <v>160</v>
      </c>
      <c r="AD23" s="3"/>
      <c r="AI23" s="3"/>
    </row>
    <row r="24" spans="1:39">
      <c r="A24" t="s">
        <v>83</v>
      </c>
      <c r="C24" t="s">
        <v>108</v>
      </c>
      <c r="D24">
        <v>576</v>
      </c>
      <c r="E24" t="str">
        <f t="shared" ref="E24:E44" si="8">IF(AND(F24=1,O24&lt;=5),1,"")</f>
        <v/>
      </c>
      <c r="F24" t="str">
        <f>IF(I24&gt;0,1,"")</f>
        <v/>
      </c>
      <c r="M24">
        <f t="shared" ref="M24:M44" si="9">L24</f>
        <v>0</v>
      </c>
      <c r="O24">
        <f t="shared" ref="O24:O44" si="10">IF(SUM(P24:AF24)&gt;0,1,"")</f>
        <v>1</v>
      </c>
      <c r="T24">
        <v>24</v>
      </c>
      <c r="U24">
        <v>24</v>
      </c>
      <c r="V24" s="3">
        <f t="shared" ref="V24:V29" si="11">D24*U24/T24</f>
        <v>576</v>
      </c>
      <c r="AJ24" s="3">
        <f>IF(O24&gt;0,SUM(Q24+S24+V24+X24+Z24+AB24+AD24+AG24)," ")</f>
        <v>576</v>
      </c>
      <c r="AM24">
        <f t="shared" ref="AM24:AM44" si="12">_xlfn.RANK.EQ(AJ24,AJ$24:AJ$60)</f>
        <v>2</v>
      </c>
    </row>
    <row r="25" spans="1:39">
      <c r="A25" t="s">
        <v>83</v>
      </c>
      <c r="C25" t="s">
        <v>109</v>
      </c>
      <c r="D25">
        <v>151</v>
      </c>
      <c r="E25" t="str">
        <f t="shared" si="8"/>
        <v/>
      </c>
      <c r="F25" t="str">
        <f>IF(I25&gt;0,1,"")</f>
        <v/>
      </c>
      <c r="M25">
        <f t="shared" si="9"/>
        <v>0</v>
      </c>
      <c r="O25">
        <f t="shared" si="10"/>
        <v>1</v>
      </c>
      <c r="T25">
        <v>24</v>
      </c>
      <c r="U25">
        <v>20</v>
      </c>
      <c r="V25" s="3">
        <f t="shared" si="11"/>
        <v>125.83333333333333</v>
      </c>
      <c r="AJ25" s="3">
        <f>IF(O25&gt;0,SUM(Q25+S25+V25+X25+Z25+AB25+AD25+AG25)," ")</f>
        <v>125.83333333333333</v>
      </c>
      <c r="AM25">
        <f t="shared" si="12"/>
        <v>3</v>
      </c>
    </row>
    <row r="26" spans="1:39">
      <c r="A26" t="s">
        <v>83</v>
      </c>
      <c r="C26" t="s">
        <v>100</v>
      </c>
      <c r="D26">
        <v>125</v>
      </c>
      <c r="E26" t="str">
        <f t="shared" si="8"/>
        <v/>
      </c>
      <c r="F26" t="str">
        <f>IF(I26&gt;0,1,"")</f>
        <v/>
      </c>
      <c r="M26">
        <f t="shared" si="9"/>
        <v>0</v>
      </c>
      <c r="O26">
        <f t="shared" si="10"/>
        <v>1</v>
      </c>
      <c r="T26">
        <v>26</v>
      </c>
      <c r="U26">
        <v>26</v>
      </c>
      <c r="V26" s="3">
        <f t="shared" si="11"/>
        <v>125</v>
      </c>
      <c r="Z26" s="3"/>
      <c r="AJ26" s="3">
        <f>IF(O26&gt;0,SUM(Q26+S26+V26+X26+Z26+AB26+AD26+AG26)," ")</f>
        <v>125</v>
      </c>
      <c r="AM26">
        <f t="shared" si="12"/>
        <v>4</v>
      </c>
    </row>
    <row r="27" spans="1:39">
      <c r="A27" t="s">
        <v>83</v>
      </c>
      <c r="C27" t="s">
        <v>86</v>
      </c>
      <c r="D27">
        <v>125</v>
      </c>
      <c r="E27" t="str">
        <f t="shared" si="8"/>
        <v/>
      </c>
      <c r="M27">
        <f t="shared" si="9"/>
        <v>0</v>
      </c>
      <c r="O27">
        <f t="shared" si="10"/>
        <v>1</v>
      </c>
      <c r="T27">
        <v>24</v>
      </c>
      <c r="U27">
        <v>23</v>
      </c>
      <c r="V27" s="3">
        <f t="shared" si="11"/>
        <v>119.79166666666667</v>
      </c>
      <c r="Y27">
        <v>5</v>
      </c>
      <c r="Z27" s="3">
        <f>D27*Y27/12</f>
        <v>52.083333333333336</v>
      </c>
      <c r="AJ27" s="3">
        <f>IF(O27&gt;0,SUM(Q27+S27+V27+X27+Z27+AB27+AD27+AG27)," ")-V27*Z27/D27</f>
        <v>121.96180555555556</v>
      </c>
      <c r="AM27">
        <f t="shared" si="12"/>
        <v>5</v>
      </c>
    </row>
    <row r="28" spans="1:39">
      <c r="A28" t="s">
        <v>83</v>
      </c>
      <c r="C28" t="s">
        <v>88</v>
      </c>
      <c r="D28">
        <v>113</v>
      </c>
      <c r="E28" t="str">
        <f t="shared" si="8"/>
        <v/>
      </c>
      <c r="F28" t="str">
        <f t="shared" ref="F28:F44" si="13">IF(I28&gt;0,1,"")</f>
        <v/>
      </c>
      <c r="M28">
        <f t="shared" si="9"/>
        <v>0</v>
      </c>
      <c r="O28">
        <f t="shared" si="10"/>
        <v>1</v>
      </c>
      <c r="T28">
        <v>29</v>
      </c>
      <c r="U28">
        <v>29</v>
      </c>
      <c r="V28" s="3">
        <f t="shared" si="11"/>
        <v>113</v>
      </c>
      <c r="Z28" s="3"/>
      <c r="AJ28" s="3">
        <f>IF(O28&gt;0,SUM(Q28+S28+V28+X28+Z28+AB28+AD28+AG28)," ")</f>
        <v>113</v>
      </c>
      <c r="AM28">
        <f t="shared" si="12"/>
        <v>6</v>
      </c>
    </row>
    <row r="29" spans="1:39">
      <c r="A29" t="s">
        <v>83</v>
      </c>
      <c r="C29" t="s">
        <v>107</v>
      </c>
      <c r="D29">
        <v>127</v>
      </c>
      <c r="E29" t="str">
        <f t="shared" si="8"/>
        <v/>
      </c>
      <c r="F29" t="str">
        <f t="shared" si="13"/>
        <v/>
      </c>
      <c r="M29">
        <f t="shared" si="9"/>
        <v>0</v>
      </c>
      <c r="O29">
        <f t="shared" si="10"/>
        <v>1</v>
      </c>
      <c r="T29">
        <v>24</v>
      </c>
      <c r="U29">
        <v>21</v>
      </c>
      <c r="V29" s="3">
        <f t="shared" si="11"/>
        <v>111.125</v>
      </c>
      <c r="AJ29" s="3">
        <f>IF(O29&gt;0,SUM(Q29+S29+V29+X29+Z29+AB29+AD29+AG29)," ")</f>
        <v>111.125</v>
      </c>
      <c r="AM29">
        <f t="shared" si="12"/>
        <v>7</v>
      </c>
    </row>
    <row r="30" spans="1:39">
      <c r="A30" t="s">
        <v>66</v>
      </c>
      <c r="C30" t="s">
        <v>67</v>
      </c>
      <c r="D30">
        <v>561</v>
      </c>
      <c r="E30" t="str">
        <f t="shared" si="8"/>
        <v/>
      </c>
      <c r="F30" t="str">
        <f t="shared" si="13"/>
        <v/>
      </c>
      <c r="M30">
        <f t="shared" si="9"/>
        <v>0</v>
      </c>
      <c r="O30">
        <f t="shared" si="10"/>
        <v>1</v>
      </c>
      <c r="AE30">
        <v>52</v>
      </c>
      <c r="AF30">
        <v>10</v>
      </c>
      <c r="AG30" s="3">
        <f>$D30*AF30/AE30</f>
        <v>107.88461538461539</v>
      </c>
      <c r="AJ30" s="3">
        <f>IF(O30&gt;0,SUM(Q30+S30+V30+X30+AB30+AD30+AG30))</f>
        <v>107.88461538461539</v>
      </c>
      <c r="AM30">
        <f t="shared" si="12"/>
        <v>8</v>
      </c>
    </row>
    <row r="31" spans="1:39">
      <c r="A31" t="s">
        <v>66</v>
      </c>
      <c r="C31" t="s">
        <v>68</v>
      </c>
      <c r="D31">
        <v>427</v>
      </c>
      <c r="E31" t="str">
        <f t="shared" si="8"/>
        <v/>
      </c>
      <c r="F31" t="str">
        <f t="shared" si="13"/>
        <v/>
      </c>
      <c r="M31">
        <f t="shared" si="9"/>
        <v>0</v>
      </c>
      <c r="O31">
        <f t="shared" si="10"/>
        <v>1</v>
      </c>
      <c r="AE31">
        <v>52</v>
      </c>
      <c r="AF31">
        <v>12</v>
      </c>
      <c r="AG31" s="3">
        <f>$D31*AF31/AE31</f>
        <v>98.538461538461533</v>
      </c>
      <c r="AJ31" s="3">
        <f>IF(O31&gt;0,SUM(Q31+S31+V31+X31+AB31+AD31+AG31))</f>
        <v>98.538461538461533</v>
      </c>
      <c r="AM31">
        <f t="shared" si="12"/>
        <v>9</v>
      </c>
    </row>
    <row r="32" spans="1:39">
      <c r="A32" t="s">
        <v>66</v>
      </c>
      <c r="C32" t="s">
        <v>70</v>
      </c>
      <c r="D32">
        <v>361</v>
      </c>
      <c r="E32" t="str">
        <f t="shared" si="8"/>
        <v/>
      </c>
      <c r="F32" t="str">
        <f t="shared" si="13"/>
        <v/>
      </c>
      <c r="M32">
        <f t="shared" si="9"/>
        <v>0</v>
      </c>
      <c r="O32">
        <f t="shared" si="10"/>
        <v>1</v>
      </c>
      <c r="AE32">
        <v>52</v>
      </c>
      <c r="AF32">
        <v>12</v>
      </c>
      <c r="AG32" s="3">
        <f>$D32*AF32/AE32</f>
        <v>83.307692307692307</v>
      </c>
      <c r="AJ32" s="3">
        <f>IF(O32&gt;0,SUM(Q32+S32+V32+X32+AB32+AD32+AG32))</f>
        <v>83.307692307692307</v>
      </c>
      <c r="AM32">
        <f t="shared" si="12"/>
        <v>11</v>
      </c>
    </row>
    <row r="33" spans="1:39">
      <c r="A33" t="s">
        <v>83</v>
      </c>
      <c r="C33" t="s">
        <v>92</v>
      </c>
      <c r="D33">
        <v>76</v>
      </c>
      <c r="E33" t="str">
        <f t="shared" si="8"/>
        <v/>
      </c>
      <c r="F33" t="str">
        <f t="shared" si="13"/>
        <v/>
      </c>
      <c r="M33">
        <f t="shared" si="9"/>
        <v>0</v>
      </c>
      <c r="O33">
        <f t="shared" si="10"/>
        <v>1</v>
      </c>
      <c r="T33">
        <v>24</v>
      </c>
      <c r="U33">
        <v>22</v>
      </c>
      <c r="V33" s="3">
        <f>D33*U33/T33</f>
        <v>69.666666666666671</v>
      </c>
      <c r="Z33" s="3"/>
      <c r="AJ33" s="3">
        <f>IF(O33&gt;0,SUM(Q33+S33+V33+X33+Z33+AB33+AD33+AG33)," ")</f>
        <v>69.666666666666671</v>
      </c>
      <c r="AM33">
        <f t="shared" si="12"/>
        <v>12</v>
      </c>
    </row>
    <row r="34" spans="1:39">
      <c r="A34" t="s">
        <v>83</v>
      </c>
      <c r="C34" t="s">
        <v>84</v>
      </c>
      <c r="D34">
        <v>176</v>
      </c>
      <c r="E34" t="str">
        <f t="shared" si="8"/>
        <v/>
      </c>
      <c r="F34" t="str">
        <f t="shared" si="13"/>
        <v/>
      </c>
      <c r="M34">
        <f t="shared" si="9"/>
        <v>0</v>
      </c>
      <c r="O34">
        <f t="shared" si="10"/>
        <v>1</v>
      </c>
      <c r="T34">
        <v>24</v>
      </c>
      <c r="U34">
        <v>9</v>
      </c>
      <c r="V34" s="3">
        <f>D34*U34/T34</f>
        <v>66</v>
      </c>
      <c r="Z34" s="3"/>
      <c r="AJ34" s="3">
        <f>IF(O34&gt;0,SUM(Q34+S34+V34+X34+Z34+AB34+AD34+AG34)," ")</f>
        <v>66</v>
      </c>
      <c r="AM34">
        <f t="shared" si="12"/>
        <v>13</v>
      </c>
    </row>
    <row r="35" spans="1:39">
      <c r="A35" t="s">
        <v>66</v>
      </c>
      <c r="C35" t="s">
        <v>69</v>
      </c>
      <c r="D35">
        <v>260</v>
      </c>
      <c r="E35" t="str">
        <f t="shared" si="8"/>
        <v/>
      </c>
      <c r="F35" t="str">
        <f t="shared" si="13"/>
        <v/>
      </c>
      <c r="M35">
        <f t="shared" si="9"/>
        <v>0</v>
      </c>
      <c r="O35">
        <f t="shared" si="10"/>
        <v>1</v>
      </c>
      <c r="AE35">
        <v>52</v>
      </c>
      <c r="AF35">
        <v>12</v>
      </c>
      <c r="AG35" s="3">
        <f>$D35*AF35/AE35</f>
        <v>60</v>
      </c>
      <c r="AJ35" s="3">
        <f>IF(O35&gt;0,SUM(Q35+S35+V35+X35+AB35+AD35+AG35))</f>
        <v>60</v>
      </c>
      <c r="AM35">
        <f t="shared" si="12"/>
        <v>14</v>
      </c>
    </row>
    <row r="36" spans="1:39">
      <c r="A36" t="s">
        <v>83</v>
      </c>
      <c r="C36" t="s">
        <v>94</v>
      </c>
      <c r="D36">
        <v>47</v>
      </c>
      <c r="E36" t="str">
        <f t="shared" si="8"/>
        <v/>
      </c>
      <c r="F36" t="str">
        <f t="shared" si="13"/>
        <v/>
      </c>
      <c r="M36">
        <f t="shared" si="9"/>
        <v>0</v>
      </c>
      <c r="O36">
        <f t="shared" si="10"/>
        <v>1</v>
      </c>
      <c r="T36">
        <v>24</v>
      </c>
      <c r="U36">
        <v>23</v>
      </c>
      <c r="V36" s="3">
        <f>D36*U36/T36</f>
        <v>45.041666666666664</v>
      </c>
      <c r="Z36" s="3"/>
      <c r="AJ36" s="3">
        <f>IF(O36&gt;0,SUM(Q36+S36+V36+X36+Z36+AB36+AD36+AG36)," ")</f>
        <v>45.041666666666664</v>
      </c>
      <c r="AM36">
        <f t="shared" si="12"/>
        <v>15</v>
      </c>
    </row>
    <row r="37" spans="1:39">
      <c r="A37" t="s">
        <v>83</v>
      </c>
      <c r="C37" t="s">
        <v>89</v>
      </c>
      <c r="D37">
        <v>165</v>
      </c>
      <c r="E37" t="str">
        <f t="shared" si="8"/>
        <v/>
      </c>
      <c r="F37" t="str">
        <f t="shared" si="13"/>
        <v/>
      </c>
      <c r="M37">
        <f t="shared" si="9"/>
        <v>0</v>
      </c>
      <c r="O37">
        <f t="shared" si="10"/>
        <v>1</v>
      </c>
      <c r="T37">
        <v>24</v>
      </c>
      <c r="U37">
        <v>4</v>
      </c>
      <c r="V37" s="3">
        <f>D37*U37/T37</f>
        <v>27.5</v>
      </c>
      <c r="Y37">
        <v>1</v>
      </c>
      <c r="Z37" s="3">
        <f>D37*Y37/12</f>
        <v>13.75</v>
      </c>
      <c r="AJ37" s="3">
        <f>IF(O37&gt;0,SUM(Q37+S37+V37+X37+Z37+AB37+AD37+AG37)," ")-V37*Z37/D37</f>
        <v>38.958333333333336</v>
      </c>
      <c r="AM37">
        <f t="shared" si="12"/>
        <v>16</v>
      </c>
    </row>
    <row r="38" spans="1:39">
      <c r="A38" t="s">
        <v>83</v>
      </c>
      <c r="C38" t="s">
        <v>101</v>
      </c>
      <c r="D38">
        <v>129</v>
      </c>
      <c r="E38" t="str">
        <f t="shared" si="8"/>
        <v/>
      </c>
      <c r="F38" t="str">
        <f t="shared" si="13"/>
        <v/>
      </c>
      <c r="M38">
        <f t="shared" si="9"/>
        <v>0</v>
      </c>
      <c r="O38">
        <f t="shared" si="10"/>
        <v>1</v>
      </c>
      <c r="Y38">
        <v>3</v>
      </c>
      <c r="Z38" s="3">
        <f>D38*Y38/12</f>
        <v>32.25</v>
      </c>
      <c r="AJ38" s="3">
        <f t="shared" ref="AJ38:AJ44" si="14">IF(O38&gt;0,SUM(Q38+S38+V38+X38+Z38+AB38+AD38+AG38)," ")</f>
        <v>32.25</v>
      </c>
      <c r="AM38">
        <f t="shared" si="12"/>
        <v>17</v>
      </c>
    </row>
    <row r="39" spans="1:39">
      <c r="A39" t="s">
        <v>83</v>
      </c>
      <c r="C39" t="s">
        <v>103</v>
      </c>
      <c r="D39">
        <v>40</v>
      </c>
      <c r="E39" t="str">
        <f t="shared" si="8"/>
        <v/>
      </c>
      <c r="F39" t="str">
        <f t="shared" si="13"/>
        <v/>
      </c>
      <c r="M39">
        <f t="shared" si="9"/>
        <v>0</v>
      </c>
      <c r="O39">
        <f t="shared" si="10"/>
        <v>1</v>
      </c>
      <c r="Y39">
        <v>8</v>
      </c>
      <c r="Z39" s="3">
        <f>D39*Y39/12</f>
        <v>26.666666666666668</v>
      </c>
      <c r="AJ39" s="3">
        <f t="shared" si="14"/>
        <v>26.666666666666668</v>
      </c>
      <c r="AM39">
        <f t="shared" si="12"/>
        <v>19</v>
      </c>
    </row>
    <row r="40" spans="1:39">
      <c r="A40" t="s">
        <v>83</v>
      </c>
      <c r="C40" t="s">
        <v>106</v>
      </c>
      <c r="D40">
        <v>184</v>
      </c>
      <c r="E40" t="str">
        <f t="shared" si="8"/>
        <v/>
      </c>
      <c r="F40" t="str">
        <f t="shared" si="13"/>
        <v/>
      </c>
      <c r="M40">
        <f t="shared" si="9"/>
        <v>0</v>
      </c>
      <c r="O40">
        <f t="shared" si="10"/>
        <v>1</v>
      </c>
      <c r="T40">
        <v>24</v>
      </c>
      <c r="U40">
        <v>2</v>
      </c>
      <c r="V40" s="3">
        <f>D40*U40/T40</f>
        <v>15.333333333333334</v>
      </c>
      <c r="AJ40" s="3">
        <f t="shared" si="14"/>
        <v>15.333333333333334</v>
      </c>
      <c r="AM40">
        <f t="shared" si="12"/>
        <v>21</v>
      </c>
    </row>
    <row r="41" spans="1:39">
      <c r="A41" t="s">
        <v>83</v>
      </c>
      <c r="C41" t="s">
        <v>105</v>
      </c>
      <c r="D41">
        <v>67</v>
      </c>
      <c r="E41" t="str">
        <f t="shared" si="8"/>
        <v/>
      </c>
      <c r="F41" t="str">
        <f t="shared" si="13"/>
        <v/>
      </c>
      <c r="M41">
        <f t="shared" si="9"/>
        <v>0</v>
      </c>
      <c r="O41">
        <f t="shared" si="10"/>
        <v>1</v>
      </c>
      <c r="T41">
        <v>24</v>
      </c>
      <c r="U41">
        <v>3</v>
      </c>
      <c r="V41" s="3">
        <f>D41*U41/T41</f>
        <v>8.375</v>
      </c>
      <c r="Z41" s="3"/>
      <c r="AJ41" s="3">
        <f t="shared" si="14"/>
        <v>8.375</v>
      </c>
      <c r="AM41">
        <f t="shared" si="12"/>
        <v>23</v>
      </c>
    </row>
    <row r="42" spans="1:39">
      <c r="A42" t="s">
        <v>83</v>
      </c>
      <c r="C42" t="s">
        <v>104</v>
      </c>
      <c r="D42">
        <v>62</v>
      </c>
      <c r="E42" t="str">
        <f t="shared" si="8"/>
        <v/>
      </c>
      <c r="F42" t="str">
        <f t="shared" si="13"/>
        <v/>
      </c>
      <c r="M42">
        <f t="shared" si="9"/>
        <v>0</v>
      </c>
      <c r="O42">
        <f t="shared" si="10"/>
        <v>1</v>
      </c>
      <c r="T42">
        <v>24</v>
      </c>
      <c r="U42">
        <v>2</v>
      </c>
      <c r="V42" s="3">
        <f>D42*U42/T42</f>
        <v>5.166666666666667</v>
      </c>
      <c r="Z42" s="3"/>
      <c r="AJ42" s="3">
        <f t="shared" si="14"/>
        <v>5.166666666666667</v>
      </c>
      <c r="AM42">
        <f t="shared" si="12"/>
        <v>24</v>
      </c>
    </row>
    <row r="43" spans="1:39">
      <c r="A43" t="s">
        <v>83</v>
      </c>
      <c r="C43" t="s">
        <v>97</v>
      </c>
      <c r="D43">
        <v>91</v>
      </c>
      <c r="E43" t="str">
        <f t="shared" si="8"/>
        <v/>
      </c>
      <c r="F43" t="str">
        <f t="shared" si="13"/>
        <v/>
      </c>
      <c r="M43">
        <f t="shared" si="9"/>
        <v>0</v>
      </c>
      <c r="O43">
        <f t="shared" si="10"/>
        <v>1</v>
      </c>
      <c r="T43">
        <v>24</v>
      </c>
      <c r="U43">
        <v>1</v>
      </c>
      <c r="V43" s="3">
        <f>D43*U43/T43</f>
        <v>3.7916666666666665</v>
      </c>
      <c r="Z43" s="3"/>
      <c r="AJ43" s="3">
        <f t="shared" si="14"/>
        <v>3.7916666666666665</v>
      </c>
      <c r="AM43">
        <f t="shared" si="12"/>
        <v>25</v>
      </c>
    </row>
    <row r="44" spans="1:39">
      <c r="A44" t="s">
        <v>83</v>
      </c>
      <c r="C44" t="s">
        <v>87</v>
      </c>
      <c r="D44">
        <v>57</v>
      </c>
      <c r="E44" t="str">
        <f t="shared" si="8"/>
        <v/>
      </c>
      <c r="F44" t="str">
        <f t="shared" si="13"/>
        <v/>
      </c>
      <c r="M44">
        <f t="shared" si="9"/>
        <v>0</v>
      </c>
      <c r="O44">
        <f t="shared" si="10"/>
        <v>1</v>
      </c>
      <c r="T44">
        <v>24</v>
      </c>
      <c r="U44">
        <v>1</v>
      </c>
      <c r="V44" s="3">
        <f>D44*U44/T44</f>
        <v>2.375</v>
      </c>
      <c r="Z44" s="3"/>
      <c r="AJ44" s="3">
        <f t="shared" si="14"/>
        <v>2.375</v>
      </c>
      <c r="AM44">
        <f t="shared" si="12"/>
        <v>26</v>
      </c>
    </row>
    <row r="45" spans="1:39">
      <c r="Z45" s="3"/>
      <c r="AJ45" s="3"/>
    </row>
    <row r="46" spans="1:39">
      <c r="A46" s="1" t="s">
        <v>161</v>
      </c>
      <c r="Z46" s="3"/>
      <c r="AJ46" s="3"/>
    </row>
    <row r="47" spans="1:39">
      <c r="A47" t="s">
        <v>64</v>
      </c>
      <c r="C47" t="s">
        <v>65</v>
      </c>
      <c r="D47">
        <v>962</v>
      </c>
      <c r="E47" t="str">
        <f t="shared" ref="E47:E60" si="15">IF(AND(F47=1,O47&lt;=5),1,"")</f>
        <v/>
      </c>
      <c r="F47">
        <f t="shared" ref="F47:F60" si="16">IF(I47&gt;0,1,"")</f>
        <v>1</v>
      </c>
      <c r="G47">
        <v>9</v>
      </c>
      <c r="H47">
        <v>1</v>
      </c>
      <c r="I47" s="2">
        <f t="shared" ref="I47:I60" si="17">H47/G47</f>
        <v>0.1111111111111111</v>
      </c>
      <c r="J47" s="3">
        <f t="shared" ref="J47:J60" si="18">D47*I47</f>
        <v>106.88888888888889</v>
      </c>
      <c r="L47">
        <f t="shared" ref="L47:L60" si="19">_xlfn.RANK.EQ(J47,J$13:J$61)</f>
        <v>1</v>
      </c>
      <c r="M47">
        <f t="shared" ref="M47:M60" si="20">L47</f>
        <v>1</v>
      </c>
      <c r="O47" t="str">
        <f>IF(SUM(P47:AF47)&gt;0,1,"")</f>
        <v/>
      </c>
      <c r="AG47" s="3"/>
      <c r="AJ47" s="3"/>
    </row>
    <row r="48" spans="1:39">
      <c r="A48" t="s">
        <v>62</v>
      </c>
      <c r="C48" t="s">
        <v>63</v>
      </c>
      <c r="D48">
        <v>328</v>
      </c>
      <c r="E48" t="str">
        <f t="shared" si="15"/>
        <v/>
      </c>
      <c r="F48">
        <f t="shared" si="16"/>
        <v>1</v>
      </c>
      <c r="G48">
        <v>33</v>
      </c>
      <c r="H48">
        <v>5</v>
      </c>
      <c r="I48" s="2">
        <f t="shared" si="17"/>
        <v>0.15151515151515152</v>
      </c>
      <c r="J48" s="3">
        <f t="shared" si="18"/>
        <v>49.696969696969695</v>
      </c>
      <c r="L48">
        <f t="shared" si="19"/>
        <v>2</v>
      </c>
      <c r="M48">
        <f t="shared" si="20"/>
        <v>2</v>
      </c>
      <c r="O48" t="str">
        <f>IF(SUM(P48:AF48)&gt;0,1,"")</f>
        <v/>
      </c>
    </row>
    <row r="49" spans="1:39">
      <c r="A49" t="s">
        <v>83</v>
      </c>
      <c r="C49" t="s">
        <v>90</v>
      </c>
      <c r="D49">
        <v>70</v>
      </c>
      <c r="E49" t="str">
        <f t="shared" si="15"/>
        <v/>
      </c>
      <c r="F49">
        <f t="shared" si="16"/>
        <v>1</v>
      </c>
      <c r="G49">
        <v>24</v>
      </c>
      <c r="H49">
        <v>4</v>
      </c>
      <c r="I49" s="2">
        <f t="shared" si="17"/>
        <v>0.16666666666666666</v>
      </c>
      <c r="J49" s="3">
        <f t="shared" si="18"/>
        <v>11.666666666666666</v>
      </c>
      <c r="L49">
        <f t="shared" si="19"/>
        <v>3</v>
      </c>
      <c r="M49">
        <f t="shared" si="20"/>
        <v>3</v>
      </c>
      <c r="O49" t="str">
        <f>IF(SUM(P49:AF49)&gt;0,1,"")</f>
        <v/>
      </c>
      <c r="Z49" s="3"/>
      <c r="AJ49" s="3">
        <f>IF(O49&gt;0,SUM(Q49+S49+V49+X49+Z49+AB49+AD49+AG49)," ")</f>
        <v>0</v>
      </c>
    </row>
    <row r="50" spans="1:39">
      <c r="A50" t="s">
        <v>60</v>
      </c>
      <c r="C50" t="s">
        <v>61</v>
      </c>
      <c r="D50">
        <v>1269</v>
      </c>
      <c r="E50">
        <f t="shared" si="15"/>
        <v>1</v>
      </c>
      <c r="F50">
        <f t="shared" si="16"/>
        <v>1</v>
      </c>
      <c r="G50">
        <v>199</v>
      </c>
      <c r="H50">
        <v>1</v>
      </c>
      <c r="I50" s="2">
        <f t="shared" si="17"/>
        <v>5.0251256281407036E-3</v>
      </c>
      <c r="J50" s="3">
        <f t="shared" si="18"/>
        <v>6.3768844221105532</v>
      </c>
      <c r="L50">
        <f t="shared" si="19"/>
        <v>4</v>
      </c>
      <c r="M50">
        <f t="shared" si="20"/>
        <v>4</v>
      </c>
      <c r="O50">
        <v>1</v>
      </c>
      <c r="AE50">
        <v>32</v>
      </c>
      <c r="AF50">
        <v>28</v>
      </c>
      <c r="AG50" s="3">
        <f>$D50*AF50/AE50</f>
        <v>1110.375</v>
      </c>
      <c r="AJ50" s="3">
        <f>IF(O50&gt;0,SUM(Q50+S50+V50+X50+AB50+AD50+AG50))</f>
        <v>1110.375</v>
      </c>
      <c r="AM50">
        <f>_xlfn.RANK.EQ(AJ50,AJ$24:AJ$60)</f>
        <v>1</v>
      </c>
    </row>
    <row r="51" spans="1:39">
      <c r="A51" t="s">
        <v>83</v>
      </c>
      <c r="C51" t="s">
        <v>96</v>
      </c>
      <c r="D51">
        <v>94</v>
      </c>
      <c r="E51">
        <f t="shared" si="15"/>
        <v>1</v>
      </c>
      <c r="F51">
        <f t="shared" si="16"/>
        <v>1</v>
      </c>
      <c r="G51">
        <v>24</v>
      </c>
      <c r="H51">
        <v>1</v>
      </c>
      <c r="I51" s="2">
        <f t="shared" si="17"/>
        <v>4.1666666666666664E-2</v>
      </c>
      <c r="J51" s="3">
        <f t="shared" si="18"/>
        <v>3.9166666666666665</v>
      </c>
      <c r="L51">
        <f t="shared" si="19"/>
        <v>5</v>
      </c>
      <c r="M51">
        <f t="shared" si="20"/>
        <v>5</v>
      </c>
      <c r="O51">
        <f t="shared" ref="O51:O60" si="21">IF(SUM(P51:AF51)&gt;0,1,"")</f>
        <v>1</v>
      </c>
      <c r="T51">
        <v>25</v>
      </c>
      <c r="U51">
        <v>25</v>
      </c>
      <c r="V51" s="3">
        <f>D51*U51/T51</f>
        <v>94</v>
      </c>
      <c r="Z51" s="3"/>
      <c r="AJ51" s="3">
        <f>IF(O51&gt;0,SUM(Q51+S51+V51+X51+Z51+AB51+AD51+AG51)," ")</f>
        <v>94</v>
      </c>
      <c r="AM51">
        <f>_xlfn.RANK.EQ(AJ51,AJ$24:AJ$60)</f>
        <v>10</v>
      </c>
    </row>
    <row r="52" spans="1:39">
      <c r="A52" t="s">
        <v>83</v>
      </c>
      <c r="C52" t="s">
        <v>99</v>
      </c>
      <c r="D52">
        <v>30</v>
      </c>
      <c r="E52" t="str">
        <f t="shared" si="15"/>
        <v/>
      </c>
      <c r="F52">
        <f t="shared" si="16"/>
        <v>1</v>
      </c>
      <c r="G52">
        <v>24</v>
      </c>
      <c r="H52">
        <v>3</v>
      </c>
      <c r="I52" s="2">
        <f t="shared" si="17"/>
        <v>0.125</v>
      </c>
      <c r="J52" s="3">
        <f t="shared" si="18"/>
        <v>3.75</v>
      </c>
      <c r="L52">
        <f t="shared" si="19"/>
        <v>6</v>
      </c>
      <c r="M52">
        <f t="shared" si="20"/>
        <v>6</v>
      </c>
      <c r="O52" t="str">
        <f t="shared" si="21"/>
        <v/>
      </c>
      <c r="Z52" s="3"/>
      <c r="AJ52" s="3">
        <f>IF(O52&gt;0,SUM(Q52+S52+V52+X52+Z52+AB52+AD52+AG52)," ")</f>
        <v>0</v>
      </c>
    </row>
    <row r="53" spans="1:39">
      <c r="A53" t="s">
        <v>83</v>
      </c>
      <c r="C53" t="s">
        <v>110</v>
      </c>
      <c r="D53">
        <v>52</v>
      </c>
      <c r="E53">
        <f t="shared" si="15"/>
        <v>1</v>
      </c>
      <c r="F53">
        <f t="shared" si="16"/>
        <v>1</v>
      </c>
      <c r="G53">
        <v>24</v>
      </c>
      <c r="H53">
        <v>1</v>
      </c>
      <c r="I53" s="2">
        <f t="shared" si="17"/>
        <v>4.1666666666666664E-2</v>
      </c>
      <c r="J53" s="3">
        <f t="shared" si="18"/>
        <v>2.1666666666666665</v>
      </c>
      <c r="L53">
        <f t="shared" si="19"/>
        <v>7</v>
      </c>
      <c r="M53">
        <f t="shared" si="20"/>
        <v>7</v>
      </c>
      <c r="O53">
        <f t="shared" si="21"/>
        <v>1</v>
      </c>
      <c r="T53">
        <v>24</v>
      </c>
      <c r="U53">
        <v>4</v>
      </c>
      <c r="V53" s="3">
        <f>D53*U53/T53</f>
        <v>8.6666666666666661</v>
      </c>
      <c r="AJ53" s="3">
        <f>IF(O53&gt;0,SUM(Q53+S53+V53+X53+Z53+AB53+AD53+AG53)," ")</f>
        <v>8.6666666666666661</v>
      </c>
      <c r="AM53">
        <f>_xlfn.RANK.EQ(AJ53,AJ$24:AJ$60)</f>
        <v>22</v>
      </c>
    </row>
    <row r="54" spans="1:39">
      <c r="A54" t="s">
        <v>83</v>
      </c>
      <c r="C54" t="s">
        <v>91</v>
      </c>
      <c r="D54">
        <v>25</v>
      </c>
      <c r="E54" t="str">
        <f t="shared" si="15"/>
        <v/>
      </c>
      <c r="F54">
        <f t="shared" si="16"/>
        <v>1</v>
      </c>
      <c r="G54">
        <v>24</v>
      </c>
      <c r="H54">
        <v>2</v>
      </c>
      <c r="I54" s="2">
        <f t="shared" si="17"/>
        <v>8.3333333333333329E-2</v>
      </c>
      <c r="J54" s="3">
        <f t="shared" si="18"/>
        <v>2.083333333333333</v>
      </c>
      <c r="L54">
        <f t="shared" si="19"/>
        <v>8</v>
      </c>
      <c r="M54">
        <f t="shared" si="20"/>
        <v>8</v>
      </c>
      <c r="O54" t="str">
        <f t="shared" si="21"/>
        <v/>
      </c>
      <c r="Z54" s="3"/>
      <c r="AJ54" s="3">
        <f>IF(O54&gt;0,SUM(Q54+S54+V54+X54+Z54+AB54+AD54+AG54)," ")</f>
        <v>0</v>
      </c>
    </row>
    <row r="55" spans="1:39">
      <c r="A55" t="s">
        <v>83</v>
      </c>
      <c r="C55" t="s">
        <v>98</v>
      </c>
      <c r="D55">
        <v>45</v>
      </c>
      <c r="E55">
        <f t="shared" si="15"/>
        <v>1</v>
      </c>
      <c r="F55">
        <f t="shared" si="16"/>
        <v>1</v>
      </c>
      <c r="G55">
        <v>24</v>
      </c>
      <c r="H55">
        <v>1</v>
      </c>
      <c r="I55" s="2">
        <f t="shared" si="17"/>
        <v>4.1666666666666664E-2</v>
      </c>
      <c r="J55" s="3">
        <f t="shared" si="18"/>
        <v>1.875</v>
      </c>
      <c r="L55">
        <f t="shared" si="19"/>
        <v>9</v>
      </c>
      <c r="M55">
        <f t="shared" si="20"/>
        <v>9</v>
      </c>
      <c r="O55">
        <f t="shared" si="21"/>
        <v>1</v>
      </c>
      <c r="T55">
        <v>24</v>
      </c>
      <c r="U55">
        <v>14</v>
      </c>
      <c r="V55" s="3">
        <f>D55*U55/T55</f>
        <v>26.25</v>
      </c>
      <c r="Z55" s="3"/>
      <c r="AJ55" s="3">
        <f>IF(O55&gt;0,SUM(Q55+S55+V55+X55+Z55+AB55+AD55+AG55)," ")</f>
        <v>26.25</v>
      </c>
      <c r="AM55">
        <f>_xlfn.RANK.EQ(AJ55,AJ$24:AJ$60)</f>
        <v>20</v>
      </c>
    </row>
    <row r="56" spans="1:39">
      <c r="A56" t="s">
        <v>36</v>
      </c>
      <c r="B56" t="s">
        <v>40</v>
      </c>
      <c r="C56" t="s">
        <v>42</v>
      </c>
      <c r="D56">
        <v>74</v>
      </c>
      <c r="E56">
        <f t="shared" si="15"/>
        <v>1</v>
      </c>
      <c r="F56">
        <f t="shared" si="16"/>
        <v>1</v>
      </c>
      <c r="G56">
        <v>50</v>
      </c>
      <c r="H56">
        <v>1</v>
      </c>
      <c r="I56" s="2">
        <f t="shared" si="17"/>
        <v>0.02</v>
      </c>
      <c r="J56" s="3">
        <f t="shared" si="18"/>
        <v>1.48</v>
      </c>
      <c r="L56">
        <f t="shared" si="19"/>
        <v>10</v>
      </c>
      <c r="M56">
        <f t="shared" si="20"/>
        <v>10</v>
      </c>
      <c r="O56">
        <f t="shared" si="21"/>
        <v>1</v>
      </c>
      <c r="R56">
        <v>10</v>
      </c>
      <c r="S56" s="3">
        <f>$D56*MAX(0, (R56/R$5-1))</f>
        <v>296</v>
      </c>
      <c r="AI56" s="3">
        <f>IF(O56&gt;0,SUM(Q56+S56+V56+X56+AB56+AD56+AG56))</f>
        <v>296</v>
      </c>
      <c r="AL56">
        <f>_xlfn.RANK.EQ(AI56,AI$10:AI$56)</f>
        <v>5</v>
      </c>
    </row>
    <row r="57" spans="1:39">
      <c r="A57" t="s">
        <v>83</v>
      </c>
      <c r="C57" t="s">
        <v>93</v>
      </c>
      <c r="D57">
        <v>35</v>
      </c>
      <c r="E57" t="str">
        <f t="shared" si="15"/>
        <v/>
      </c>
      <c r="F57">
        <f t="shared" si="16"/>
        <v>1</v>
      </c>
      <c r="G57">
        <v>24</v>
      </c>
      <c r="H57">
        <v>1</v>
      </c>
      <c r="I57" s="2">
        <f t="shared" si="17"/>
        <v>4.1666666666666664E-2</v>
      </c>
      <c r="J57" s="3">
        <f t="shared" si="18"/>
        <v>1.4583333333333333</v>
      </c>
      <c r="L57">
        <f t="shared" si="19"/>
        <v>11</v>
      </c>
      <c r="M57">
        <f t="shared" si="20"/>
        <v>11</v>
      </c>
      <c r="O57" t="str">
        <f t="shared" si="21"/>
        <v/>
      </c>
      <c r="Z57" s="3"/>
      <c r="AJ57" s="3">
        <f>IF(O57&gt;0,SUM(Q57+S57+V57+X57+Z57+AB57+AD57+AG57)," ")</f>
        <v>0</v>
      </c>
    </row>
    <row r="58" spans="1:39">
      <c r="A58" t="s">
        <v>83</v>
      </c>
      <c r="C58" t="s">
        <v>85</v>
      </c>
      <c r="D58">
        <v>16</v>
      </c>
      <c r="E58" t="str">
        <f t="shared" si="15"/>
        <v/>
      </c>
      <c r="F58">
        <f t="shared" si="16"/>
        <v>1</v>
      </c>
      <c r="G58">
        <v>24</v>
      </c>
      <c r="H58">
        <v>2</v>
      </c>
      <c r="I58" s="2">
        <f t="shared" si="17"/>
        <v>8.3333333333333329E-2</v>
      </c>
      <c r="J58" s="3">
        <f t="shared" si="18"/>
        <v>1.3333333333333333</v>
      </c>
      <c r="L58">
        <f t="shared" si="19"/>
        <v>12</v>
      </c>
      <c r="M58">
        <f t="shared" si="20"/>
        <v>12</v>
      </c>
      <c r="O58" t="str">
        <f t="shared" si="21"/>
        <v/>
      </c>
      <c r="Z58" s="3"/>
      <c r="AJ58" s="3">
        <f>IF(O58&gt;0,SUM(Q58+S58+V58+X58+Z58+AB58+AD58+AG58)," ")</f>
        <v>0</v>
      </c>
    </row>
    <row r="59" spans="1:39">
      <c r="A59" t="s">
        <v>83</v>
      </c>
      <c r="C59" t="s">
        <v>102</v>
      </c>
      <c r="D59">
        <v>30</v>
      </c>
      <c r="E59">
        <f t="shared" si="15"/>
        <v>1</v>
      </c>
      <c r="F59">
        <f t="shared" si="16"/>
        <v>1</v>
      </c>
      <c r="G59">
        <v>24</v>
      </c>
      <c r="H59">
        <v>1</v>
      </c>
      <c r="I59" s="2">
        <f t="shared" si="17"/>
        <v>4.1666666666666664E-2</v>
      </c>
      <c r="J59" s="3">
        <f t="shared" si="18"/>
        <v>1.25</v>
      </c>
      <c r="L59">
        <f t="shared" si="19"/>
        <v>13</v>
      </c>
      <c r="M59">
        <f t="shared" si="20"/>
        <v>13</v>
      </c>
      <c r="O59">
        <f t="shared" si="21"/>
        <v>1</v>
      </c>
      <c r="T59">
        <v>24</v>
      </c>
      <c r="U59">
        <v>22</v>
      </c>
      <c r="V59" s="3">
        <f>D59*U59/T59</f>
        <v>27.5</v>
      </c>
      <c r="Z59" s="3"/>
      <c r="AJ59" s="3">
        <f>IF(O59&gt;0,SUM(Q59+S59+V59+X59+Z59+AB59+AD59+AG59)," ")</f>
        <v>27.5</v>
      </c>
      <c r="AM59">
        <f>_xlfn.RANK.EQ(AJ59,AJ$24:AJ$60)</f>
        <v>18</v>
      </c>
    </row>
    <row r="60" spans="1:39">
      <c r="A60" t="s">
        <v>83</v>
      </c>
      <c r="C60" t="s">
        <v>95</v>
      </c>
      <c r="D60">
        <v>27</v>
      </c>
      <c r="E60" t="str">
        <f t="shared" si="15"/>
        <v/>
      </c>
      <c r="F60">
        <f t="shared" si="16"/>
        <v>1</v>
      </c>
      <c r="G60">
        <v>24</v>
      </c>
      <c r="H60">
        <v>1</v>
      </c>
      <c r="I60" s="2">
        <f t="shared" si="17"/>
        <v>4.1666666666666664E-2</v>
      </c>
      <c r="J60" s="3">
        <f t="shared" si="18"/>
        <v>1.125</v>
      </c>
      <c r="L60">
        <f t="shared" si="19"/>
        <v>14</v>
      </c>
      <c r="M60">
        <f t="shared" si="20"/>
        <v>14</v>
      </c>
      <c r="O60" t="str">
        <f t="shared" si="21"/>
        <v/>
      </c>
      <c r="Z60" s="3"/>
      <c r="AJ60" s="3">
        <f>IF(O60&gt;0,SUM(Q60+S60+V60+X60+Z60+AB60+AD60+AG60)," ")</f>
        <v>0</v>
      </c>
    </row>
    <row r="61" spans="1:39" s="1" customFormat="1">
      <c r="I61" s="10"/>
      <c r="J61" s="11"/>
      <c r="K61" s="10"/>
      <c r="L61"/>
      <c r="Q61" s="11"/>
      <c r="V61" s="11"/>
      <c r="X61" s="11"/>
      <c r="AJ61" s="11"/>
    </row>
    <row r="62" spans="1:39" s="1" customFormat="1">
      <c r="F62" s="10"/>
      <c r="I62" s="10"/>
      <c r="J62" s="11"/>
      <c r="K62" s="10"/>
      <c r="Q62" s="11"/>
      <c r="V62" s="11"/>
      <c r="X62" s="11"/>
      <c r="AH62" s="11"/>
      <c r="AJ62" s="11"/>
    </row>
    <row r="63" spans="1:39">
      <c r="A63" s="1"/>
      <c r="D63" s="1"/>
      <c r="F63" s="1"/>
      <c r="H63" s="1"/>
      <c r="I63"/>
      <c r="J63" s="11"/>
      <c r="K63" s="10"/>
      <c r="P63" s="1"/>
      <c r="R63" s="1"/>
      <c r="V63"/>
      <c r="X63"/>
      <c r="AF63" s="1"/>
      <c r="AI63" s="11"/>
      <c r="AJ63" s="11"/>
    </row>
    <row r="64" spans="1:39">
      <c r="C64" s="7"/>
      <c r="D64" s="16"/>
      <c r="E64" s="16"/>
      <c r="F64" s="16"/>
      <c r="G64" s="16"/>
      <c r="I64"/>
      <c r="J64"/>
      <c r="K64"/>
      <c r="P64" s="1"/>
      <c r="R64" s="3"/>
      <c r="V64"/>
      <c r="X64"/>
    </row>
    <row r="65" spans="1:39" s="1" customFormat="1">
      <c r="A65"/>
      <c r="B65"/>
      <c r="D65"/>
      <c r="H65"/>
      <c r="I65"/>
      <c r="K65" s="10"/>
      <c r="N65"/>
      <c r="O65"/>
      <c r="P65"/>
      <c r="Q65" s="3"/>
      <c r="R65"/>
      <c r="S65"/>
      <c r="T65"/>
      <c r="U65"/>
      <c r="V65" s="3"/>
      <c r="W65"/>
      <c r="X65" s="20"/>
      <c r="Y65"/>
      <c r="Z65"/>
      <c r="AA65"/>
      <c r="AB65"/>
      <c r="AC65"/>
      <c r="AD65"/>
      <c r="AE65"/>
      <c r="AF65"/>
      <c r="AG65"/>
      <c r="AH65"/>
      <c r="AI65"/>
      <c r="AJ65"/>
    </row>
    <row r="66" spans="1:39" s="1" customFormat="1">
      <c r="A66"/>
      <c r="B66"/>
      <c r="H66"/>
      <c r="I66" s="2"/>
      <c r="K66" s="10"/>
      <c r="L66"/>
      <c r="M66"/>
      <c r="N66"/>
      <c r="O66"/>
      <c r="P66"/>
      <c r="Q66" s="3"/>
      <c r="R66"/>
      <c r="S66"/>
      <c r="T66"/>
      <c r="U66"/>
      <c r="V66" s="3"/>
      <c r="W66"/>
      <c r="X66" s="3"/>
      <c r="Y66"/>
      <c r="Z66"/>
      <c r="AA66"/>
      <c r="AB66"/>
      <c r="AC66"/>
      <c r="AD66"/>
      <c r="AE66"/>
      <c r="AF66"/>
      <c r="AG66"/>
      <c r="AH66"/>
      <c r="AI66"/>
      <c r="AJ66"/>
    </row>
    <row r="67" spans="1:39" s="1" customFormat="1">
      <c r="A67"/>
      <c r="B67"/>
      <c r="G67"/>
      <c r="H67"/>
      <c r="I67" s="2"/>
      <c r="K67" s="10"/>
      <c r="L67"/>
      <c r="M67"/>
      <c r="N67"/>
      <c r="O67"/>
      <c r="P67"/>
      <c r="Q67" s="3"/>
      <c r="R67"/>
      <c r="S67"/>
      <c r="T67"/>
      <c r="U67"/>
      <c r="V67" s="3"/>
      <c r="W67"/>
      <c r="X67" s="3"/>
      <c r="Y67"/>
      <c r="Z67"/>
      <c r="AA67"/>
      <c r="AB67"/>
      <c r="AC67"/>
      <c r="AD67"/>
      <c r="AE67"/>
      <c r="AF67"/>
      <c r="AG67"/>
      <c r="AH67"/>
      <c r="AI67"/>
      <c r="AJ67"/>
    </row>
    <row r="68" spans="1:39" s="1" customFormat="1">
      <c r="F68" s="10"/>
      <c r="G68" s="10"/>
      <c r="I68" s="2"/>
      <c r="K68" s="10"/>
      <c r="L68"/>
      <c r="M68"/>
      <c r="N68"/>
      <c r="O68"/>
      <c r="P68"/>
      <c r="Q68" s="3"/>
      <c r="R68"/>
      <c r="S68"/>
      <c r="T68"/>
      <c r="U68"/>
      <c r="V68" s="3"/>
      <c r="W68"/>
      <c r="X68" s="3"/>
      <c r="Y68"/>
      <c r="Z68"/>
      <c r="AA68"/>
      <c r="AB68"/>
      <c r="AC68"/>
      <c r="AD68"/>
      <c r="AE68"/>
      <c r="AF68"/>
      <c r="AG68"/>
      <c r="AH68"/>
      <c r="AI68"/>
      <c r="AJ68"/>
    </row>
    <row r="69" spans="1:39" s="1" customFormat="1">
      <c r="A69"/>
      <c r="C69" s="10"/>
      <c r="F69" s="10"/>
      <c r="H69"/>
      <c r="I69" s="2"/>
      <c r="K69" s="10"/>
      <c r="L69"/>
      <c r="M69"/>
      <c r="N69"/>
      <c r="O69"/>
      <c r="P69"/>
      <c r="Q69" s="3"/>
      <c r="R69"/>
      <c r="S69"/>
      <c r="T69"/>
      <c r="U69"/>
      <c r="V69" s="3"/>
      <c r="W69"/>
      <c r="X69" s="3"/>
      <c r="Y69"/>
      <c r="Z69"/>
      <c r="AA69"/>
      <c r="AB69"/>
      <c r="AC69"/>
      <c r="AD69"/>
      <c r="AE69"/>
      <c r="AF69"/>
      <c r="AG69"/>
      <c r="AH69"/>
      <c r="AI69"/>
      <c r="AJ69"/>
    </row>
    <row r="70" spans="1:39" s="1" customFormat="1">
      <c r="A70"/>
      <c r="B70"/>
      <c r="H70"/>
      <c r="I70" s="2"/>
      <c r="K70" s="10"/>
      <c r="L70"/>
      <c r="M70"/>
      <c r="N70"/>
      <c r="O70"/>
      <c r="P70"/>
      <c r="Q70" s="3"/>
      <c r="R70"/>
      <c r="S70"/>
      <c r="T70"/>
      <c r="U70"/>
      <c r="V70" s="3"/>
      <c r="W70"/>
      <c r="X70" s="3"/>
      <c r="Y70"/>
      <c r="Z70"/>
      <c r="AA70"/>
      <c r="AB70"/>
      <c r="AC70"/>
      <c r="AD70"/>
      <c r="AE70"/>
      <c r="AF70"/>
      <c r="AG70"/>
      <c r="AH70"/>
      <c r="AI70"/>
      <c r="AJ70"/>
    </row>
    <row r="71" spans="1:39" s="1" customFormat="1">
      <c r="A71"/>
      <c r="B71"/>
      <c r="H71"/>
      <c r="I71" s="2"/>
      <c r="K71" s="10"/>
      <c r="L71"/>
      <c r="M71"/>
      <c r="N71"/>
      <c r="O71"/>
      <c r="P71"/>
      <c r="Q71" s="3"/>
      <c r="R71"/>
      <c r="S71"/>
      <c r="T71"/>
      <c r="U71"/>
      <c r="V71" s="3"/>
      <c r="W71"/>
      <c r="X71" s="3"/>
      <c r="Y71"/>
      <c r="Z71"/>
      <c r="AA71"/>
      <c r="AB71"/>
      <c r="AC71"/>
      <c r="AD71"/>
      <c r="AE71"/>
      <c r="AF71"/>
      <c r="AG71"/>
      <c r="AH71"/>
      <c r="AI71"/>
      <c r="AJ71"/>
    </row>
    <row r="72" spans="1:39" s="1" customFormat="1">
      <c r="A72"/>
      <c r="B72"/>
      <c r="H72"/>
      <c r="I72" s="2"/>
      <c r="K72" s="10"/>
      <c r="L72"/>
      <c r="M72"/>
      <c r="N72"/>
      <c r="O72"/>
      <c r="P72"/>
      <c r="Q72" s="3"/>
      <c r="R72"/>
      <c r="S72"/>
      <c r="T72"/>
      <c r="U72"/>
      <c r="V72" s="3"/>
      <c r="W72"/>
      <c r="X72" s="3"/>
      <c r="Y72"/>
      <c r="Z72"/>
      <c r="AA72"/>
      <c r="AB72"/>
      <c r="AC72"/>
      <c r="AD72"/>
      <c r="AE72"/>
      <c r="AF72"/>
      <c r="AG72"/>
      <c r="AH72"/>
      <c r="AI72"/>
      <c r="AJ72"/>
    </row>
    <row r="73" spans="1:39" s="1" customFormat="1">
      <c r="A73"/>
      <c r="B73"/>
      <c r="H73"/>
      <c r="I73" s="2"/>
      <c r="K73" s="10"/>
      <c r="L73"/>
      <c r="M73"/>
      <c r="N73"/>
      <c r="O73"/>
      <c r="P73"/>
      <c r="Q73" s="3"/>
      <c r="R73"/>
      <c r="S73"/>
      <c r="T73"/>
      <c r="U73"/>
      <c r="V73" s="3"/>
      <c r="W73"/>
      <c r="X73" s="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9" s="1" customFormat="1">
      <c r="A74"/>
      <c r="B74"/>
      <c r="H74"/>
      <c r="I74" s="2"/>
      <c r="K74" s="10"/>
      <c r="L74"/>
      <c r="M74"/>
      <c r="N74"/>
      <c r="O74"/>
      <c r="P74"/>
      <c r="Q74" s="3"/>
      <c r="R74"/>
      <c r="S74"/>
      <c r="T74"/>
      <c r="U74"/>
      <c r="V74" s="3"/>
      <c r="W74"/>
      <c r="X74" s="3"/>
      <c r="Y74"/>
      <c r="Z74"/>
      <c r="AA74"/>
      <c r="AB74"/>
      <c r="AC74"/>
      <c r="AD74"/>
      <c r="AE74"/>
      <c r="AF74"/>
      <c r="AG74"/>
      <c r="AH74"/>
      <c r="AI74"/>
      <c r="AJ74"/>
    </row>
    <row r="75" spans="1:39">
      <c r="A75" s="1"/>
    </row>
    <row r="76" spans="1:39" s="2" customFormat="1">
      <c r="A76"/>
      <c r="B76"/>
      <c r="C76"/>
      <c r="D76"/>
      <c r="E76"/>
      <c r="F76"/>
      <c r="G76"/>
      <c r="H76"/>
      <c r="J76" s="3"/>
      <c r="L76"/>
      <c r="M76"/>
      <c r="N76"/>
      <c r="O76"/>
      <c r="P76"/>
      <c r="Q76" s="3"/>
      <c r="R76"/>
      <c r="S76"/>
      <c r="T76"/>
      <c r="U76"/>
      <c r="V76" s="3"/>
      <c r="W76"/>
      <c r="X76" s="3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s="2" customFormat="1">
      <c r="A77"/>
      <c r="B77"/>
      <c r="C77"/>
      <c r="D77"/>
      <c r="E77"/>
      <c r="F77"/>
      <c r="G77"/>
      <c r="H77"/>
      <c r="J77" s="3"/>
      <c r="L77"/>
      <c r="M77"/>
      <c r="N77"/>
      <c r="O77"/>
      <c r="P77"/>
      <c r="Q77" s="3"/>
      <c r="R77"/>
      <c r="S77"/>
      <c r="T77"/>
      <c r="U77"/>
      <c r="V77" s="3"/>
      <c r="W77"/>
      <c r="X77" s="3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s="2" customFormat="1">
      <c r="A78"/>
      <c r="B78"/>
      <c r="C78"/>
      <c r="D78"/>
      <c r="E78"/>
      <c r="F78"/>
      <c r="G78"/>
      <c r="H78"/>
      <c r="J78" s="3"/>
      <c r="L78"/>
      <c r="M78"/>
      <c r="N78"/>
      <c r="O78"/>
      <c r="P78"/>
      <c r="Q78" s="3"/>
      <c r="R78"/>
      <c r="S78"/>
      <c r="T78"/>
      <c r="U78"/>
      <c r="V78" s="3"/>
      <c r="W78"/>
      <c r="X78" s="3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s="2" customFormat="1">
      <c r="A79"/>
      <c r="B79"/>
      <c r="C79"/>
      <c r="D79"/>
      <c r="E79"/>
      <c r="F79"/>
      <c r="G79"/>
      <c r="H79"/>
      <c r="J79" s="3"/>
      <c r="L79"/>
      <c r="M79"/>
      <c r="N79"/>
      <c r="O79"/>
      <c r="P79"/>
      <c r="Q79" s="3"/>
      <c r="R79"/>
      <c r="S79"/>
      <c r="T79"/>
      <c r="U79"/>
      <c r="V79" s="3"/>
      <c r="W79"/>
      <c r="X79" s="3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s="2" customFormat="1">
      <c r="A80"/>
      <c r="B80"/>
      <c r="C80"/>
      <c r="D80"/>
      <c r="E80"/>
      <c r="F80"/>
      <c r="G80"/>
      <c r="H80"/>
      <c r="J80" s="3"/>
      <c r="L80"/>
      <c r="M80"/>
      <c r="N80"/>
      <c r="O80"/>
      <c r="P80"/>
      <c r="Q80" s="3"/>
      <c r="R80"/>
      <c r="S80"/>
      <c r="T80"/>
      <c r="U80"/>
      <c r="V80" s="3"/>
      <c r="W80"/>
      <c r="X80" s="3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3" spans="1:39" s="2" customFormat="1">
      <c r="A83" s="1"/>
      <c r="B83"/>
      <c r="C83"/>
      <c r="D83"/>
      <c r="E83"/>
      <c r="F83"/>
      <c r="G83"/>
      <c r="H83"/>
      <c r="J83" s="3"/>
      <c r="L83"/>
      <c r="M83"/>
      <c r="N83"/>
      <c r="O83"/>
      <c r="P83"/>
      <c r="Q83" s="3"/>
      <c r="R83"/>
      <c r="S83"/>
      <c r="T83"/>
      <c r="U83"/>
      <c r="V83" s="3"/>
      <c r="W83"/>
      <c r="X83" s="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s="2" customFormat="1">
      <c r="A84"/>
      <c r="B84"/>
      <c r="C84"/>
      <c r="D84"/>
      <c r="E84"/>
      <c r="F84"/>
      <c r="G84"/>
      <c r="H84"/>
      <c r="J84" s="3"/>
      <c r="L84"/>
      <c r="M84"/>
      <c r="N84"/>
      <c r="O84"/>
      <c r="P84"/>
      <c r="Q84" s="3"/>
      <c r="R84"/>
      <c r="S84"/>
      <c r="T84"/>
      <c r="U84"/>
      <c r="V84" s="3"/>
      <c r="W84"/>
      <c r="X84" s="3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6" spans="1:39" s="2" customFormat="1">
      <c r="A86" s="1"/>
      <c r="B86"/>
      <c r="C86"/>
      <c r="D86"/>
      <c r="E86"/>
      <c r="F86"/>
      <c r="G86"/>
      <c r="H86"/>
      <c r="J86" s="3"/>
      <c r="L86"/>
      <c r="M86"/>
      <c r="N86"/>
      <c r="O86"/>
      <c r="P86"/>
      <c r="Q86" s="3"/>
      <c r="R86"/>
      <c r="S86"/>
      <c r="T86"/>
      <c r="U86"/>
      <c r="V86" s="3"/>
      <c r="W86"/>
      <c r="X86" s="3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s="2" customFormat="1">
      <c r="A87"/>
      <c r="B87"/>
      <c r="C87"/>
      <c r="D87"/>
      <c r="E87"/>
      <c r="F87"/>
      <c r="G87"/>
      <c r="H87"/>
      <c r="J87" s="3"/>
      <c r="L87"/>
      <c r="M87"/>
      <c r="N87"/>
      <c r="O87"/>
      <c r="P87"/>
      <c r="Q87" s="3"/>
      <c r="R87"/>
      <c r="S87"/>
      <c r="T87"/>
      <c r="U87"/>
      <c r="V87" s="3"/>
      <c r="W87"/>
      <c r="X87" s="3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9" spans="1:39" s="2" customFormat="1">
      <c r="A89" s="1"/>
      <c r="B89"/>
      <c r="C89"/>
      <c r="D89"/>
      <c r="E89"/>
      <c r="F89"/>
      <c r="G89"/>
      <c r="H89"/>
      <c r="J89" s="3"/>
      <c r="L89"/>
      <c r="M89"/>
      <c r="N89"/>
      <c r="O89"/>
      <c r="P89"/>
      <c r="Q89" s="3"/>
      <c r="R89"/>
      <c r="S89"/>
      <c r="T89"/>
      <c r="U89"/>
      <c r="V89" s="3"/>
      <c r="W89"/>
      <c r="X89" s="3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s="2" customFormat="1">
      <c r="A90" s="1"/>
      <c r="B90"/>
      <c r="C90"/>
      <c r="D90"/>
      <c r="E90"/>
      <c r="F90"/>
      <c r="G90"/>
      <c r="H90"/>
      <c r="J90" s="3"/>
      <c r="L90"/>
      <c r="M90"/>
      <c r="N90"/>
      <c r="O90"/>
      <c r="P90"/>
      <c r="Q90" s="3"/>
      <c r="R90"/>
      <c r="S90"/>
      <c r="T90"/>
      <c r="U90"/>
      <c r="V90" s="3"/>
      <c r="W90"/>
      <c r="X90" s="3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s="2" customFormat="1">
      <c r="A91"/>
      <c r="B91"/>
      <c r="C91"/>
      <c r="D91"/>
      <c r="E91"/>
      <c r="F91"/>
      <c r="G91"/>
      <c r="H91"/>
      <c r="J91" s="3"/>
      <c r="L91"/>
      <c r="M91"/>
      <c r="N91"/>
      <c r="O91"/>
      <c r="P91"/>
      <c r="Q91" s="3"/>
      <c r="R91"/>
      <c r="S91"/>
      <c r="T91"/>
      <c r="U91"/>
      <c r="V91" s="3"/>
      <c r="W91"/>
      <c r="X91" s="3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5" spans="1:39">
      <c r="A95" s="1"/>
    </row>
  </sheetData>
  <sortState xmlns:xlrd2="http://schemas.microsoft.com/office/spreadsheetml/2017/richdata2" ref="A24:AM44">
    <sortCondition ref="AM24:AM44"/>
  </sortState>
  <printOptions headings="1" gridLines="1"/>
  <pageMargins left="0.70866141732283472" right="0.70866141732283472" top="0.74803149606299213" bottom="0.74803149606299213" header="0.31496062992125984" footer="0.31496062992125984"/>
  <pageSetup paperSize="9" scale="45" fitToWidth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Exceedances (2)</vt:lpstr>
      <vt:lpstr>Exceedances (3)</vt:lpstr>
      <vt:lpstr>Prioritization</vt:lpstr>
      <vt:lpstr>Prioritization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Fisher</dc:creator>
  <cp:lastModifiedBy>George Kastl</cp:lastModifiedBy>
  <cp:lastPrinted>2025-02-27T02:09:50Z</cp:lastPrinted>
  <dcterms:created xsi:type="dcterms:W3CDTF">2024-12-30T22:22:00Z</dcterms:created>
  <dcterms:modified xsi:type="dcterms:W3CDTF">2025-03-04T04:19:33Z</dcterms:modified>
</cp:coreProperties>
</file>